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yoti\Desktop\"/>
    </mc:Choice>
  </mc:AlternateContent>
  <bookViews>
    <workbookView xWindow="0" yWindow="0" windowWidth="15360" windowHeight="7755"/>
  </bookViews>
  <sheets>
    <sheet name="Audit trail" sheetId="8" r:id="rId1"/>
    <sheet name="Data &amp; Formulae" sheetId="1" r:id="rId2"/>
    <sheet name="Returns &amp; Bonus" sheetId="2" r:id="rId3"/>
    <sheet name="Parameters" sheetId="3" r:id="rId4"/>
    <sheet name="Amended Data" sheetId="4" r:id="rId5"/>
    <sheet name="Calculations" sheetId="6" r:id="rId6"/>
    <sheet name="Results" sheetId="7" r:id="rId7"/>
  </sheets>
  <externalReferences>
    <externalReference r:id="rId8"/>
  </externalReferences>
  <definedNames>
    <definedName name="BaseLimit">Parameters!$B$17</definedName>
    <definedName name="BonusFundProp">Parameters!$B$15</definedName>
    <definedName name="ClaimFundProp">Parameters!$B$14</definedName>
    <definedName name="FirstStartDate">Parameters!$B$8</definedName>
    <definedName name="FundBand">[1]Parameters!$B$7</definedName>
    <definedName name="Gtee">[1]Parameters!$B$11</definedName>
    <definedName name="LastStartDate">Parameters!$B$9</definedName>
    <definedName name="MaxPrem">Parameters!$B$7</definedName>
    <definedName name="MaxTerm">Parameters!$B$12</definedName>
    <definedName name="Mean">[1]Parameters!#REF!</definedName>
    <definedName name="MinPrem">Parameters!$B$6</definedName>
    <definedName name="MinTerm">Parameters!$B$11</definedName>
    <definedName name="ProfitExclOption">'Data &amp; Formulae'!$C$9</definedName>
    <definedName name="Sample">[1]Parameters!$B$17</definedName>
    <definedName name="Scen1Limit">Parameters!$B$19</definedName>
    <definedName name="Scen2Bonus">Parameters!$B$21</definedName>
    <definedName name="Scen3Pay">Parameters!$B$23</definedName>
    <definedName name="ScenLimit">Parameters!$B$19</definedName>
    <definedName name="stddev">[1]Parameters!#REF!</definedName>
    <definedName name="Stdev">[1]Parameters!#REF!</definedName>
    <definedName name="SurrPay">Parameters!$B$23</definedName>
    <definedName name="Tolerance">[1]Parameters!$B$5</definedName>
    <definedName name="ValDate">Parameters!$B$3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83" i="6" l="1"/>
  <c r="AQ82" i="6"/>
  <c r="AQ81" i="6"/>
  <c r="AQ80" i="6"/>
  <c r="AQ79" i="6"/>
  <c r="AQ78" i="6"/>
  <c r="AQ77" i="6"/>
  <c r="AQ76" i="6"/>
  <c r="AQ75" i="6"/>
  <c r="AQ74" i="6"/>
  <c r="AQ73" i="6"/>
  <c r="AQ72" i="6"/>
  <c r="AQ71" i="6"/>
  <c r="AQ70" i="6"/>
  <c r="AQ69" i="6"/>
  <c r="AQ68" i="6"/>
  <c r="AQ67" i="6"/>
  <c r="AQ66" i="6"/>
  <c r="AQ65" i="6"/>
  <c r="AQ64" i="6"/>
  <c r="AQ63" i="6"/>
  <c r="AQ62" i="6"/>
  <c r="AQ61" i="6"/>
  <c r="AQ60" i="6"/>
  <c r="AQ59" i="6"/>
  <c r="AQ58" i="6"/>
  <c r="AQ57" i="6"/>
  <c r="AQ56" i="6"/>
  <c r="AQ55" i="6"/>
  <c r="AQ54" i="6"/>
  <c r="AQ53" i="6"/>
  <c r="AQ52" i="6"/>
  <c r="AQ51" i="6"/>
  <c r="AQ50" i="6"/>
  <c r="AQ49" i="6"/>
  <c r="AQ48" i="6"/>
  <c r="AQ47" i="6"/>
  <c r="AQ46" i="6"/>
  <c r="AQ45" i="6"/>
  <c r="AQ44" i="6"/>
  <c r="AQ43" i="6"/>
  <c r="AQ42" i="6"/>
  <c r="AQ41" i="6"/>
  <c r="AQ40" i="6"/>
  <c r="AQ39" i="6"/>
  <c r="AQ38" i="6"/>
  <c r="AQ37" i="6"/>
  <c r="AQ36" i="6"/>
  <c r="AQ35" i="6"/>
  <c r="AQ34" i="6"/>
  <c r="AQ33" i="6"/>
  <c r="AQ32" i="6"/>
  <c r="AQ31" i="6"/>
  <c r="AQ30" i="6"/>
  <c r="AQ29" i="6"/>
  <c r="AQ28" i="6"/>
  <c r="AQ27" i="6"/>
  <c r="AQ26" i="6"/>
  <c r="AQ25" i="6"/>
  <c r="AQ24" i="6"/>
  <c r="AQ23" i="6"/>
  <c r="AQ22" i="6"/>
  <c r="AQ21" i="6"/>
  <c r="AQ20" i="6"/>
  <c r="AQ19" i="6"/>
  <c r="AQ18" i="6"/>
  <c r="AQ17" i="6"/>
  <c r="AQ16" i="6"/>
  <c r="AQ15" i="6"/>
  <c r="AQ14" i="6"/>
  <c r="AQ13" i="6"/>
  <c r="AQ12" i="6"/>
  <c r="AQ11" i="6"/>
  <c r="AQ10" i="6"/>
  <c r="AQ9" i="6"/>
  <c r="AQ8" i="6"/>
  <c r="AQ7" i="6"/>
  <c r="AQ6" i="6"/>
  <c r="AQ5" i="6"/>
  <c r="AQ4" i="6"/>
  <c r="AP83" i="6"/>
  <c r="AP82" i="6"/>
  <c r="AP81" i="6"/>
  <c r="AP80" i="6"/>
  <c r="AP79" i="6"/>
  <c r="AP78" i="6"/>
  <c r="AP77" i="6"/>
  <c r="AP76" i="6"/>
  <c r="AP75" i="6"/>
  <c r="AP74" i="6"/>
  <c r="AP73" i="6"/>
  <c r="AP72" i="6"/>
  <c r="AP71" i="6"/>
  <c r="AP70" i="6"/>
  <c r="AP69" i="6"/>
  <c r="AP68" i="6"/>
  <c r="AP67" i="6"/>
  <c r="AP66" i="6"/>
  <c r="AP65" i="6"/>
  <c r="AP64" i="6"/>
  <c r="AP63" i="6"/>
  <c r="AP62" i="6"/>
  <c r="AP61" i="6"/>
  <c r="AP60" i="6"/>
  <c r="AP59" i="6"/>
  <c r="AP58" i="6"/>
  <c r="AP57" i="6"/>
  <c r="AP56" i="6"/>
  <c r="AP55" i="6"/>
  <c r="AP54" i="6"/>
  <c r="AP53" i="6"/>
  <c r="AP52" i="6"/>
  <c r="AP51" i="6"/>
  <c r="AP50" i="6"/>
  <c r="AP49" i="6"/>
  <c r="AP48" i="6"/>
  <c r="AP47" i="6"/>
  <c r="AP46" i="6"/>
  <c r="AP45" i="6"/>
  <c r="AP44" i="6"/>
  <c r="AP43" i="6"/>
  <c r="AP42" i="6"/>
  <c r="AP41" i="6"/>
  <c r="AP40" i="6"/>
  <c r="AP39" i="6"/>
  <c r="AP38" i="6"/>
  <c r="AP37" i="6"/>
  <c r="AP36" i="6"/>
  <c r="AP35" i="6"/>
  <c r="AP34" i="6"/>
  <c r="AP33" i="6"/>
  <c r="AP32" i="6"/>
  <c r="AP31" i="6"/>
  <c r="AP30" i="6"/>
  <c r="AP29" i="6"/>
  <c r="AP28" i="6"/>
  <c r="AP27" i="6"/>
  <c r="AP26" i="6"/>
  <c r="AP25" i="6"/>
  <c r="AP24" i="6"/>
  <c r="AP23" i="6"/>
  <c r="AP22" i="6"/>
  <c r="AP21" i="6"/>
  <c r="AP20" i="6"/>
  <c r="AP19" i="6"/>
  <c r="AP18" i="6"/>
  <c r="AP17" i="6"/>
  <c r="AP16" i="6"/>
  <c r="AP15" i="6"/>
  <c r="AP14" i="6"/>
  <c r="AP13" i="6"/>
  <c r="AP12" i="6"/>
  <c r="AP11" i="6"/>
  <c r="AP10" i="6"/>
  <c r="AP9" i="6"/>
  <c r="AP8" i="6"/>
  <c r="AP7" i="6"/>
  <c r="AP6" i="6"/>
  <c r="AP5" i="6"/>
  <c r="AP4" i="6"/>
  <c r="AI83" i="6"/>
  <c r="AI81" i="6"/>
  <c r="AI80" i="6"/>
  <c r="AI73" i="6"/>
  <c r="AI71" i="6"/>
  <c r="AI69" i="6"/>
  <c r="AI63" i="6"/>
  <c r="AI62" i="6"/>
  <c r="AI59" i="6"/>
  <c r="AI53" i="6"/>
  <c r="AI51" i="6"/>
  <c r="AI47" i="6"/>
  <c r="AI44" i="6"/>
  <c r="AI39" i="6"/>
  <c r="AI28" i="6"/>
  <c r="AI25" i="6"/>
  <c r="AI21" i="6"/>
  <c r="AI20" i="6"/>
  <c r="AI13" i="6"/>
  <c r="AI10" i="6"/>
  <c r="AI5" i="6"/>
  <c r="AH83" i="6"/>
  <c r="AH81" i="6"/>
  <c r="AH80" i="6"/>
  <c r="AH73" i="6"/>
  <c r="AH71" i="6"/>
  <c r="AH69" i="6"/>
  <c r="AH63" i="6"/>
  <c r="AH62" i="6"/>
  <c r="AH59" i="6"/>
  <c r="AH53" i="6"/>
  <c r="AH51" i="6"/>
  <c r="AH47" i="6"/>
  <c r="AH44" i="6"/>
  <c r="AH39" i="6"/>
  <c r="AH28" i="6"/>
  <c r="AH25" i="6"/>
  <c r="AH21" i="6"/>
  <c r="AH20" i="6"/>
  <c r="AH13" i="6"/>
  <c r="AH10" i="6"/>
  <c r="AH5" i="6"/>
  <c r="C3" i="7" l="1"/>
  <c r="F5" i="6"/>
  <c r="AE5" i="6" s="1"/>
  <c r="F6" i="6"/>
  <c r="AE6" i="6" s="1"/>
  <c r="F7" i="6"/>
  <c r="AE7" i="6" s="1"/>
  <c r="F8" i="6"/>
  <c r="F9" i="6"/>
  <c r="AE9" i="6" s="1"/>
  <c r="F10" i="6"/>
  <c r="AE10" i="6" s="1"/>
  <c r="F11" i="6"/>
  <c r="AE11" i="6" s="1"/>
  <c r="F12" i="6"/>
  <c r="F13" i="6"/>
  <c r="AE13" i="6" s="1"/>
  <c r="F14" i="6"/>
  <c r="AE14" i="6" s="1"/>
  <c r="F15" i="6"/>
  <c r="F16" i="6"/>
  <c r="AE16" i="6" s="1"/>
  <c r="F17" i="6"/>
  <c r="AE17" i="6" s="1"/>
  <c r="F18" i="6"/>
  <c r="AE18" i="6" s="1"/>
  <c r="F19" i="6"/>
  <c r="AE19" i="6" s="1"/>
  <c r="F20" i="6"/>
  <c r="F21" i="6"/>
  <c r="AE21" i="6" s="1"/>
  <c r="F22" i="6"/>
  <c r="AE22" i="6" s="1"/>
  <c r="F23" i="6"/>
  <c r="AE23" i="6" s="1"/>
  <c r="F24" i="6"/>
  <c r="AE24" i="6" s="1"/>
  <c r="F25" i="6"/>
  <c r="AE25" i="6" s="1"/>
  <c r="F26" i="6"/>
  <c r="AE26" i="6" s="1"/>
  <c r="F27" i="6"/>
  <c r="F28" i="6"/>
  <c r="AE28" i="6" s="1"/>
  <c r="F29" i="6"/>
  <c r="AE29" i="6" s="1"/>
  <c r="F30" i="6"/>
  <c r="AE30" i="6" s="1"/>
  <c r="F31" i="6"/>
  <c r="AE31" i="6" s="1"/>
  <c r="F32" i="6"/>
  <c r="AE32" i="6" s="1"/>
  <c r="F33" i="6"/>
  <c r="F34" i="6"/>
  <c r="AE34" i="6" s="1"/>
  <c r="F35" i="6"/>
  <c r="AE35" i="6" s="1"/>
  <c r="F36" i="6"/>
  <c r="F37" i="6"/>
  <c r="AE37" i="6" s="1"/>
  <c r="F38" i="6"/>
  <c r="AE38" i="6" s="1"/>
  <c r="F39" i="6"/>
  <c r="AE39" i="6" s="1"/>
  <c r="F40" i="6"/>
  <c r="AE40" i="6" s="1"/>
  <c r="F41" i="6"/>
  <c r="AE41" i="6" s="1"/>
  <c r="F42" i="6"/>
  <c r="AE42" i="6" s="1"/>
  <c r="F43" i="6"/>
  <c r="AE43" i="6" s="1"/>
  <c r="F44" i="6"/>
  <c r="AE44" i="6" s="1"/>
  <c r="F45" i="6"/>
  <c r="AE45" i="6" s="1"/>
  <c r="F46" i="6"/>
  <c r="AE46" i="6" s="1"/>
  <c r="F47" i="6"/>
  <c r="AE47" i="6" s="1"/>
  <c r="F48" i="6"/>
  <c r="AE48" i="6" s="1"/>
  <c r="F49" i="6"/>
  <c r="AE49" i="6" s="1"/>
  <c r="F50" i="6"/>
  <c r="AE50" i="6" s="1"/>
  <c r="F51" i="6"/>
  <c r="F52" i="6"/>
  <c r="AE52" i="6" s="1"/>
  <c r="F53" i="6"/>
  <c r="AE53" i="6" s="1"/>
  <c r="F54" i="6"/>
  <c r="AE54" i="6" s="1"/>
  <c r="F55" i="6"/>
  <c r="AE55" i="6" s="1"/>
  <c r="F56" i="6"/>
  <c r="AE56" i="6" s="1"/>
  <c r="F57" i="6"/>
  <c r="AE57" i="6" s="1"/>
  <c r="F58" i="6"/>
  <c r="AE58" i="6" s="1"/>
  <c r="F59" i="6"/>
  <c r="F60" i="6"/>
  <c r="AE60" i="6" s="1"/>
  <c r="F61" i="6"/>
  <c r="AE61" i="6" s="1"/>
  <c r="F62" i="6"/>
  <c r="F63" i="6"/>
  <c r="AE63" i="6" s="1"/>
  <c r="F64" i="6"/>
  <c r="AE64" i="6" s="1"/>
  <c r="F65" i="6"/>
  <c r="AE65" i="6" s="1"/>
  <c r="F66" i="6"/>
  <c r="AE66" i="6" s="1"/>
  <c r="F67" i="6"/>
  <c r="AE67" i="6" s="1"/>
  <c r="F68" i="6"/>
  <c r="AE68" i="6" s="1"/>
  <c r="F69" i="6"/>
  <c r="AE69" i="6" s="1"/>
  <c r="F70" i="6"/>
  <c r="F71" i="6"/>
  <c r="F72" i="6"/>
  <c r="AE72" i="6" s="1"/>
  <c r="F73" i="6"/>
  <c r="AE73" i="6" s="1"/>
  <c r="F74" i="6"/>
  <c r="AE74" i="6" s="1"/>
  <c r="F75" i="6"/>
  <c r="F76" i="6"/>
  <c r="AE76" i="6" s="1"/>
  <c r="F77" i="6"/>
  <c r="AE77" i="6" s="1"/>
  <c r="F78" i="6"/>
  <c r="F79" i="6"/>
  <c r="F80" i="6"/>
  <c r="F81" i="6"/>
  <c r="F82" i="6"/>
  <c r="F83" i="6"/>
  <c r="F4" i="6"/>
  <c r="AE4" i="6" s="1"/>
  <c r="F3" i="6"/>
  <c r="I12" i="1"/>
  <c r="G12" i="1"/>
  <c r="H3" i="6"/>
  <c r="I3" i="6" s="1"/>
  <c r="J3" i="6" s="1"/>
  <c r="K3" i="6" s="1"/>
  <c r="L3" i="6" s="1"/>
  <c r="M3" i="6" s="1"/>
  <c r="N3" i="6" s="1"/>
  <c r="O3" i="6" s="1"/>
  <c r="P3" i="6" s="1"/>
  <c r="Q3" i="6" s="1"/>
  <c r="L54" i="4"/>
  <c r="D54" i="6" s="1"/>
  <c r="L20" i="4"/>
  <c r="D20" i="6" s="1"/>
  <c r="J35" i="4"/>
  <c r="J24" i="4"/>
  <c r="J14" i="4"/>
  <c r="A6" i="2"/>
  <c r="A7" i="2" s="1"/>
  <c r="A8" i="2" s="1"/>
  <c r="A9" i="2" s="1"/>
  <c r="A10" i="2" s="1"/>
  <c r="A11" i="2" s="1"/>
  <c r="A12" i="2" s="1"/>
  <c r="A13" i="2" s="1"/>
  <c r="A14" i="2" s="1"/>
  <c r="A15" i="2" s="1"/>
  <c r="G6" i="2"/>
  <c r="G7" i="2" s="1"/>
  <c r="G8" i="2" s="1"/>
  <c r="G9" i="2" s="1"/>
  <c r="G10" i="2" s="1"/>
  <c r="G11" i="2" s="1"/>
  <c r="G12" i="2" s="1"/>
  <c r="G13" i="2" s="1"/>
  <c r="G14" i="2" s="1"/>
  <c r="G15" i="2" s="1"/>
  <c r="AF56" i="6" l="1"/>
  <c r="AF39" i="6"/>
  <c r="AF58" i="6"/>
  <c r="E5" i="4"/>
  <c r="I5" i="4" s="1"/>
  <c r="M5" i="4" s="1"/>
  <c r="E5" i="6" s="1"/>
  <c r="AF5" i="6" s="1"/>
  <c r="E6" i="4"/>
  <c r="I6" i="4" s="1"/>
  <c r="M6" i="4" s="1"/>
  <c r="E6" i="6" s="1"/>
  <c r="AF6" i="6" s="1"/>
  <c r="E7" i="4"/>
  <c r="I7" i="4" s="1"/>
  <c r="M7" i="4" s="1"/>
  <c r="E7" i="6" s="1"/>
  <c r="AF7" i="6" s="1"/>
  <c r="E8" i="4"/>
  <c r="I8" i="4" s="1"/>
  <c r="M8" i="4" s="1"/>
  <c r="E8" i="6" s="1"/>
  <c r="E9" i="4"/>
  <c r="I9" i="4" s="1"/>
  <c r="M9" i="4" s="1"/>
  <c r="E9" i="6" s="1"/>
  <c r="AF9" i="6" s="1"/>
  <c r="E10" i="4"/>
  <c r="I10" i="4" s="1"/>
  <c r="M10" i="4" s="1"/>
  <c r="E10" i="6" s="1"/>
  <c r="AF10" i="6" s="1"/>
  <c r="E11" i="4"/>
  <c r="I11" i="4" s="1"/>
  <c r="M11" i="4" s="1"/>
  <c r="E11" i="6" s="1"/>
  <c r="AF11" i="6" s="1"/>
  <c r="E12" i="4"/>
  <c r="I12" i="4" s="1"/>
  <c r="E12" i="6" s="1"/>
  <c r="E13" i="4"/>
  <c r="I13" i="4" s="1"/>
  <c r="M13" i="4" s="1"/>
  <c r="E13" i="6" s="1"/>
  <c r="AF13" i="6" s="1"/>
  <c r="E14" i="4"/>
  <c r="I14" i="4" s="1"/>
  <c r="M14" i="4" s="1"/>
  <c r="E14" i="6" s="1"/>
  <c r="AF14" i="6" s="1"/>
  <c r="E15" i="4"/>
  <c r="I15" i="4" s="1"/>
  <c r="M15" i="4" s="1"/>
  <c r="E15" i="6" s="1"/>
  <c r="E16" i="4"/>
  <c r="I16" i="4" s="1"/>
  <c r="M16" i="4" s="1"/>
  <c r="E16" i="6" s="1"/>
  <c r="AF16" i="6" s="1"/>
  <c r="E17" i="4"/>
  <c r="I17" i="4" s="1"/>
  <c r="M17" i="4" s="1"/>
  <c r="E17" i="6" s="1"/>
  <c r="AF17" i="6" s="1"/>
  <c r="E18" i="4"/>
  <c r="I18" i="4" s="1"/>
  <c r="M18" i="4" s="1"/>
  <c r="E18" i="6" s="1"/>
  <c r="AF18" i="6" s="1"/>
  <c r="E19" i="4"/>
  <c r="I19" i="4" s="1"/>
  <c r="M19" i="4" s="1"/>
  <c r="E19" i="6" s="1"/>
  <c r="AF19" i="6" s="1"/>
  <c r="E20" i="4"/>
  <c r="I20" i="4" s="1"/>
  <c r="M20" i="4" s="1"/>
  <c r="E20" i="6" s="1"/>
  <c r="E21" i="4"/>
  <c r="I21" i="4" s="1"/>
  <c r="M21" i="4" s="1"/>
  <c r="E21" i="6" s="1"/>
  <c r="AF21" i="6" s="1"/>
  <c r="E22" i="4"/>
  <c r="I22" i="4" s="1"/>
  <c r="M22" i="4" s="1"/>
  <c r="E22" i="6" s="1"/>
  <c r="AF22" i="6" s="1"/>
  <c r="E23" i="4"/>
  <c r="I23" i="4" s="1"/>
  <c r="M23" i="4" s="1"/>
  <c r="E23" i="6" s="1"/>
  <c r="AF23" i="6" s="1"/>
  <c r="E24" i="4"/>
  <c r="I24" i="4" s="1"/>
  <c r="M24" i="4" s="1"/>
  <c r="E24" i="6" s="1"/>
  <c r="AF24" i="6" s="1"/>
  <c r="E25" i="4"/>
  <c r="I25" i="4" s="1"/>
  <c r="M25" i="4" s="1"/>
  <c r="E25" i="6" s="1"/>
  <c r="AF25" i="6" s="1"/>
  <c r="E26" i="4"/>
  <c r="I26" i="4" s="1"/>
  <c r="M26" i="4" s="1"/>
  <c r="E26" i="6" s="1"/>
  <c r="AF26" i="6" s="1"/>
  <c r="E27" i="4"/>
  <c r="I27" i="4" s="1"/>
  <c r="E27" i="6" s="1"/>
  <c r="E28" i="4"/>
  <c r="I28" i="4" s="1"/>
  <c r="M28" i="4" s="1"/>
  <c r="E28" i="6" s="1"/>
  <c r="AF28" i="6" s="1"/>
  <c r="E29" i="4"/>
  <c r="I29" i="4" s="1"/>
  <c r="M29" i="4" s="1"/>
  <c r="E29" i="6" s="1"/>
  <c r="AF29" i="6" s="1"/>
  <c r="E30" i="4"/>
  <c r="I30" i="4" s="1"/>
  <c r="M30" i="4" s="1"/>
  <c r="E30" i="6" s="1"/>
  <c r="AF30" i="6" s="1"/>
  <c r="E31" i="4"/>
  <c r="I31" i="4" s="1"/>
  <c r="M31" i="4" s="1"/>
  <c r="E31" i="6" s="1"/>
  <c r="AF31" i="6" s="1"/>
  <c r="E32" i="4"/>
  <c r="I32" i="4" s="1"/>
  <c r="M32" i="4" s="1"/>
  <c r="E32" i="6" s="1"/>
  <c r="AF32" i="6" s="1"/>
  <c r="E33" i="4"/>
  <c r="I33" i="4" s="1"/>
  <c r="M33" i="4" s="1"/>
  <c r="E33" i="6" s="1"/>
  <c r="E34" i="4"/>
  <c r="I34" i="4" s="1"/>
  <c r="M34" i="4" s="1"/>
  <c r="E34" i="6" s="1"/>
  <c r="AF34" i="6" s="1"/>
  <c r="E35" i="4"/>
  <c r="I35" i="4" s="1"/>
  <c r="M35" i="4" s="1"/>
  <c r="E35" i="6" s="1"/>
  <c r="AF35" i="6" s="1"/>
  <c r="E36" i="4"/>
  <c r="I36" i="4" s="1"/>
  <c r="M36" i="4" s="1"/>
  <c r="E36" i="6" s="1"/>
  <c r="E37" i="4"/>
  <c r="I37" i="4" s="1"/>
  <c r="M37" i="4" s="1"/>
  <c r="E37" i="6" s="1"/>
  <c r="AF37" i="6" s="1"/>
  <c r="E38" i="4"/>
  <c r="I38" i="4" s="1"/>
  <c r="M38" i="4" s="1"/>
  <c r="E38" i="6" s="1"/>
  <c r="AF38" i="6" s="1"/>
  <c r="E39" i="4"/>
  <c r="I39" i="4" s="1"/>
  <c r="M39" i="4" s="1"/>
  <c r="E39" i="6" s="1"/>
  <c r="E40" i="4"/>
  <c r="I40" i="4" s="1"/>
  <c r="M40" i="4" s="1"/>
  <c r="E40" i="6" s="1"/>
  <c r="AF40" i="6" s="1"/>
  <c r="E41" i="4"/>
  <c r="I41" i="4" s="1"/>
  <c r="M41" i="4" s="1"/>
  <c r="E41" i="6" s="1"/>
  <c r="AF41" i="6" s="1"/>
  <c r="E42" i="4"/>
  <c r="I42" i="4" s="1"/>
  <c r="M42" i="4" s="1"/>
  <c r="E42" i="6" s="1"/>
  <c r="AF42" i="6" s="1"/>
  <c r="E43" i="4"/>
  <c r="I43" i="4" s="1"/>
  <c r="M43" i="4" s="1"/>
  <c r="E43" i="6" s="1"/>
  <c r="AF43" i="6" s="1"/>
  <c r="E44" i="4"/>
  <c r="I44" i="4" s="1"/>
  <c r="M44" i="4" s="1"/>
  <c r="E44" i="6" s="1"/>
  <c r="AF44" i="6" s="1"/>
  <c r="E45" i="4"/>
  <c r="I45" i="4" s="1"/>
  <c r="M45" i="4" s="1"/>
  <c r="E45" i="6" s="1"/>
  <c r="AF45" i="6" s="1"/>
  <c r="E46" i="4"/>
  <c r="I46" i="4" s="1"/>
  <c r="M46" i="4" s="1"/>
  <c r="E46" i="6" s="1"/>
  <c r="AF46" i="6" s="1"/>
  <c r="E47" i="4"/>
  <c r="I47" i="4" s="1"/>
  <c r="M47" i="4" s="1"/>
  <c r="E47" i="6" s="1"/>
  <c r="AF47" i="6" s="1"/>
  <c r="E48" i="4"/>
  <c r="I48" i="4" s="1"/>
  <c r="M48" i="4" s="1"/>
  <c r="E48" i="6" s="1"/>
  <c r="AF48" i="6" s="1"/>
  <c r="E49" i="4"/>
  <c r="I49" i="4" s="1"/>
  <c r="M49" i="4" s="1"/>
  <c r="E49" i="6" s="1"/>
  <c r="AF49" i="6" s="1"/>
  <c r="E50" i="4"/>
  <c r="I50" i="4" s="1"/>
  <c r="M50" i="4" s="1"/>
  <c r="E50" i="6" s="1"/>
  <c r="AF50" i="6" s="1"/>
  <c r="E51" i="4"/>
  <c r="I51" i="4" s="1"/>
  <c r="M51" i="4" s="1"/>
  <c r="E51" i="6" s="1"/>
  <c r="E52" i="4"/>
  <c r="I52" i="4" s="1"/>
  <c r="M52" i="4" s="1"/>
  <c r="E52" i="6" s="1"/>
  <c r="AF52" i="6" s="1"/>
  <c r="E53" i="4"/>
  <c r="I53" i="4" s="1"/>
  <c r="M53" i="4" s="1"/>
  <c r="E53" i="6" s="1"/>
  <c r="AF53" i="6" s="1"/>
  <c r="E54" i="4"/>
  <c r="I54" i="4" s="1"/>
  <c r="M54" i="4" s="1"/>
  <c r="E54" i="6" s="1"/>
  <c r="AF54" i="6" s="1"/>
  <c r="E55" i="4"/>
  <c r="I55" i="4" s="1"/>
  <c r="M55" i="4" s="1"/>
  <c r="E55" i="6" s="1"/>
  <c r="AF55" i="6" s="1"/>
  <c r="E56" i="4"/>
  <c r="I56" i="4" s="1"/>
  <c r="M56" i="4" s="1"/>
  <c r="E56" i="6" s="1"/>
  <c r="E57" i="4"/>
  <c r="I57" i="4" s="1"/>
  <c r="M57" i="4" s="1"/>
  <c r="E57" i="6" s="1"/>
  <c r="AF57" i="6" s="1"/>
  <c r="E58" i="4"/>
  <c r="I58" i="4" s="1"/>
  <c r="M58" i="4" s="1"/>
  <c r="E58" i="6" s="1"/>
  <c r="E59" i="4"/>
  <c r="I59" i="4" s="1"/>
  <c r="M59" i="4" s="1"/>
  <c r="E59" i="6" s="1"/>
  <c r="E60" i="4"/>
  <c r="I60" i="4" s="1"/>
  <c r="M60" i="4" s="1"/>
  <c r="E60" i="6" s="1"/>
  <c r="AF60" i="6" s="1"/>
  <c r="E61" i="4"/>
  <c r="I61" i="4" s="1"/>
  <c r="M61" i="4" s="1"/>
  <c r="E61" i="6" s="1"/>
  <c r="AF61" i="6" s="1"/>
  <c r="E62" i="4"/>
  <c r="I62" i="4" s="1"/>
  <c r="M62" i="4" s="1"/>
  <c r="E62" i="6" s="1"/>
  <c r="E63" i="4"/>
  <c r="I63" i="4" s="1"/>
  <c r="M63" i="4" s="1"/>
  <c r="E63" i="6" s="1"/>
  <c r="AF63" i="6" s="1"/>
  <c r="E64" i="4"/>
  <c r="I64" i="4" s="1"/>
  <c r="M64" i="4" s="1"/>
  <c r="E64" i="6" s="1"/>
  <c r="AF64" i="6" s="1"/>
  <c r="E65" i="4"/>
  <c r="I65" i="4" s="1"/>
  <c r="M65" i="4" s="1"/>
  <c r="E65" i="6" s="1"/>
  <c r="AF65" i="6" s="1"/>
  <c r="E66" i="4"/>
  <c r="I66" i="4" s="1"/>
  <c r="M66" i="4" s="1"/>
  <c r="E66" i="6" s="1"/>
  <c r="AF66" i="6" s="1"/>
  <c r="E67" i="4"/>
  <c r="I67" i="4" s="1"/>
  <c r="E68" i="4"/>
  <c r="I68" i="4" s="1"/>
  <c r="M68" i="4" s="1"/>
  <c r="E68" i="6" s="1"/>
  <c r="AF68" i="6" s="1"/>
  <c r="E69" i="4"/>
  <c r="I69" i="4" s="1"/>
  <c r="M69" i="4" s="1"/>
  <c r="E69" i="6" s="1"/>
  <c r="AF69" i="6" s="1"/>
  <c r="E70" i="4"/>
  <c r="I70" i="4" s="1"/>
  <c r="M70" i="4" s="1"/>
  <c r="E70" i="6" s="1"/>
  <c r="E71" i="4"/>
  <c r="I71" i="4" s="1"/>
  <c r="M71" i="4" s="1"/>
  <c r="E71" i="6" s="1"/>
  <c r="E72" i="4"/>
  <c r="I72" i="4" s="1"/>
  <c r="M72" i="4" s="1"/>
  <c r="E72" i="6" s="1"/>
  <c r="AF72" i="6" s="1"/>
  <c r="E73" i="4"/>
  <c r="I73" i="4" s="1"/>
  <c r="M73" i="4" s="1"/>
  <c r="E73" i="6" s="1"/>
  <c r="AF73" i="6" s="1"/>
  <c r="E74" i="4"/>
  <c r="I74" i="4" s="1"/>
  <c r="M74" i="4" s="1"/>
  <c r="E74" i="6" s="1"/>
  <c r="AF74" i="6" s="1"/>
  <c r="E75" i="4"/>
  <c r="I75" i="4" s="1"/>
  <c r="M75" i="4" s="1"/>
  <c r="E75" i="6" s="1"/>
  <c r="E76" i="4"/>
  <c r="I76" i="4" s="1"/>
  <c r="M76" i="4" s="1"/>
  <c r="E76" i="6" s="1"/>
  <c r="AF76" i="6" s="1"/>
  <c r="E77" i="4"/>
  <c r="I77" i="4" s="1"/>
  <c r="M77" i="4" s="1"/>
  <c r="E77" i="6" s="1"/>
  <c r="AF77" i="6" s="1"/>
  <c r="E78" i="4"/>
  <c r="I78" i="4" s="1"/>
  <c r="M78" i="4" s="1"/>
  <c r="E78" i="6" s="1"/>
  <c r="E79" i="4"/>
  <c r="I79" i="4" s="1"/>
  <c r="M79" i="4" s="1"/>
  <c r="E79" i="6" s="1"/>
  <c r="E80" i="4"/>
  <c r="I80" i="4" s="1"/>
  <c r="M80" i="4" s="1"/>
  <c r="E80" i="6" s="1"/>
  <c r="E81" i="4"/>
  <c r="I81" i="4" s="1"/>
  <c r="M81" i="4" s="1"/>
  <c r="E81" i="6" s="1"/>
  <c r="E82" i="4"/>
  <c r="I82" i="4" s="1"/>
  <c r="M82" i="4" s="1"/>
  <c r="E82" i="6" s="1"/>
  <c r="E83" i="4"/>
  <c r="I83" i="4" s="1"/>
  <c r="M83" i="4" s="1"/>
  <c r="E83" i="6" s="1"/>
  <c r="E4" i="4"/>
  <c r="I4" i="4" s="1"/>
  <c r="M4" i="4" s="1"/>
  <c r="E4" i="6" s="1"/>
  <c r="AF4" i="6" s="1"/>
  <c r="D5" i="4"/>
  <c r="D6" i="4"/>
  <c r="D7" i="4"/>
  <c r="D8" i="4"/>
  <c r="D9" i="4"/>
  <c r="D10" i="4"/>
  <c r="H10" i="4" s="1"/>
  <c r="D11" i="4"/>
  <c r="D12" i="4"/>
  <c r="D13" i="4"/>
  <c r="H13" i="4" s="1"/>
  <c r="D14" i="4"/>
  <c r="D15" i="4"/>
  <c r="D16" i="4"/>
  <c r="D17" i="4"/>
  <c r="D18" i="4"/>
  <c r="D19" i="4"/>
  <c r="D20" i="4"/>
  <c r="H20" i="4" s="1"/>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H54" i="4" s="1"/>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4" i="4"/>
  <c r="H4" i="4" s="1"/>
  <c r="C5" i="4"/>
  <c r="G5" i="4" s="1"/>
  <c r="J5" i="4" s="1"/>
  <c r="C6" i="4"/>
  <c r="G6" i="4" s="1"/>
  <c r="J6" i="4" s="1"/>
  <c r="C7" i="4"/>
  <c r="G7" i="4" s="1"/>
  <c r="J7" i="4" s="1"/>
  <c r="C8" i="4"/>
  <c r="G8" i="4" s="1"/>
  <c r="J8" i="4" s="1"/>
  <c r="C9" i="4"/>
  <c r="C10" i="4"/>
  <c r="G10" i="4" s="1"/>
  <c r="J10" i="4" s="1"/>
  <c r="C11" i="4"/>
  <c r="G11" i="4" s="1"/>
  <c r="J11" i="4" s="1"/>
  <c r="C12" i="4"/>
  <c r="G12" i="4" s="1"/>
  <c r="J12" i="4" s="1"/>
  <c r="C13" i="4"/>
  <c r="G13" i="4" s="1"/>
  <c r="J13" i="4" s="1"/>
  <c r="C14" i="4"/>
  <c r="G14" i="4" s="1"/>
  <c r="C15" i="4"/>
  <c r="G15" i="4" s="1"/>
  <c r="J15" i="4" s="1"/>
  <c r="C16" i="4"/>
  <c r="G16" i="4" s="1"/>
  <c r="J16" i="4" s="1"/>
  <c r="C17" i="4"/>
  <c r="G17" i="4" s="1"/>
  <c r="J17" i="4" s="1"/>
  <c r="C18" i="4"/>
  <c r="G18" i="4" s="1"/>
  <c r="J18" i="4" s="1"/>
  <c r="C19" i="4"/>
  <c r="G19" i="4" s="1"/>
  <c r="J19" i="4" s="1"/>
  <c r="C20" i="4"/>
  <c r="G20" i="4" s="1"/>
  <c r="J20" i="4" s="1"/>
  <c r="C21" i="4"/>
  <c r="G21" i="4" s="1"/>
  <c r="J21" i="4" s="1"/>
  <c r="C22" i="4"/>
  <c r="G22" i="4" s="1"/>
  <c r="J22" i="4" s="1"/>
  <c r="C23" i="4"/>
  <c r="C24" i="4"/>
  <c r="C25" i="4"/>
  <c r="G25" i="4" s="1"/>
  <c r="J25" i="4" s="1"/>
  <c r="C26" i="4"/>
  <c r="G26" i="4" s="1"/>
  <c r="J26" i="4" s="1"/>
  <c r="C27" i="4"/>
  <c r="G27" i="4" s="1"/>
  <c r="J27" i="4" s="1"/>
  <c r="C28" i="4"/>
  <c r="G28" i="4" s="1"/>
  <c r="J28" i="4" s="1"/>
  <c r="C29" i="4"/>
  <c r="G29" i="4" s="1"/>
  <c r="J29" i="4" s="1"/>
  <c r="C30" i="4"/>
  <c r="G30" i="4" s="1"/>
  <c r="J30" i="4" s="1"/>
  <c r="C31" i="4"/>
  <c r="G31" i="4" s="1"/>
  <c r="J31" i="4" s="1"/>
  <c r="C32" i="4"/>
  <c r="G32" i="4" s="1"/>
  <c r="J32" i="4" s="1"/>
  <c r="C33" i="4"/>
  <c r="G33" i="4" s="1"/>
  <c r="J33" i="4" s="1"/>
  <c r="C34" i="4"/>
  <c r="G34" i="4" s="1"/>
  <c r="J34" i="4" s="1"/>
  <c r="C35" i="4"/>
  <c r="G35" i="4" s="1"/>
  <c r="C36" i="4"/>
  <c r="G36" i="4" s="1"/>
  <c r="J36" i="4" s="1"/>
  <c r="C37" i="4"/>
  <c r="G37" i="4" s="1"/>
  <c r="J37" i="4" s="1"/>
  <c r="C38" i="4"/>
  <c r="G38" i="4" s="1"/>
  <c r="J38" i="4" s="1"/>
  <c r="C39" i="4"/>
  <c r="G39" i="4" s="1"/>
  <c r="J39" i="4" s="1"/>
  <c r="C40" i="4"/>
  <c r="G40" i="4" s="1"/>
  <c r="J40" i="4" s="1"/>
  <c r="C41" i="4"/>
  <c r="G41" i="4" s="1"/>
  <c r="J41" i="4" s="1"/>
  <c r="C42" i="4"/>
  <c r="G42" i="4" s="1"/>
  <c r="J42" i="4" s="1"/>
  <c r="C43" i="4"/>
  <c r="G43" i="4" s="1"/>
  <c r="J43" i="4" s="1"/>
  <c r="C44" i="4"/>
  <c r="G44" i="4" s="1"/>
  <c r="J44" i="4" s="1"/>
  <c r="C45" i="4"/>
  <c r="G45" i="4" s="1"/>
  <c r="J45" i="4" s="1"/>
  <c r="C46" i="4"/>
  <c r="G46" i="4" s="1"/>
  <c r="J46" i="4" s="1"/>
  <c r="C47" i="4"/>
  <c r="G47" i="4" s="1"/>
  <c r="J47" i="4" s="1"/>
  <c r="C48" i="4"/>
  <c r="G48" i="4" s="1"/>
  <c r="J48" i="4" s="1"/>
  <c r="C49" i="4"/>
  <c r="G49" i="4" s="1"/>
  <c r="J49" i="4" s="1"/>
  <c r="C50" i="4"/>
  <c r="G50" i="4" s="1"/>
  <c r="J50" i="4" s="1"/>
  <c r="C51" i="4"/>
  <c r="G51" i="4" s="1"/>
  <c r="J51" i="4" s="1"/>
  <c r="C52" i="4"/>
  <c r="G52" i="4" s="1"/>
  <c r="J52" i="4" s="1"/>
  <c r="C53" i="4"/>
  <c r="G53" i="4" s="1"/>
  <c r="J53" i="4" s="1"/>
  <c r="C54" i="4"/>
  <c r="G54" i="4" s="1"/>
  <c r="J54" i="4" s="1"/>
  <c r="C55" i="4"/>
  <c r="G55" i="4" s="1"/>
  <c r="J55" i="4" s="1"/>
  <c r="C56" i="4"/>
  <c r="G56" i="4" s="1"/>
  <c r="J56" i="4" s="1"/>
  <c r="C57" i="4"/>
  <c r="G57" i="4" s="1"/>
  <c r="J57" i="4" s="1"/>
  <c r="C58" i="4"/>
  <c r="G58" i="4" s="1"/>
  <c r="J58" i="4" s="1"/>
  <c r="C59" i="4"/>
  <c r="G59" i="4" s="1"/>
  <c r="J59" i="4" s="1"/>
  <c r="C60" i="4"/>
  <c r="G60" i="4" s="1"/>
  <c r="J60" i="4" s="1"/>
  <c r="C61" i="4"/>
  <c r="G61" i="4" s="1"/>
  <c r="J61" i="4" s="1"/>
  <c r="C62" i="4"/>
  <c r="G62" i="4" s="1"/>
  <c r="J62" i="4" s="1"/>
  <c r="C63" i="4"/>
  <c r="G63" i="4" s="1"/>
  <c r="J63" i="4" s="1"/>
  <c r="C64" i="4"/>
  <c r="G64" i="4" s="1"/>
  <c r="J64" i="4" s="1"/>
  <c r="C65" i="4"/>
  <c r="G65" i="4" s="1"/>
  <c r="J65" i="4" s="1"/>
  <c r="C66" i="4"/>
  <c r="G66" i="4" s="1"/>
  <c r="J66" i="4" s="1"/>
  <c r="C67" i="4"/>
  <c r="G67" i="4" s="1"/>
  <c r="J67" i="4" s="1"/>
  <c r="C68" i="4"/>
  <c r="G68" i="4" s="1"/>
  <c r="J68" i="4" s="1"/>
  <c r="C69" i="4"/>
  <c r="G69" i="4" s="1"/>
  <c r="J69" i="4" s="1"/>
  <c r="C70" i="4"/>
  <c r="G70" i="4" s="1"/>
  <c r="J70" i="4" s="1"/>
  <c r="C71" i="4"/>
  <c r="G71" i="4" s="1"/>
  <c r="J71" i="4" s="1"/>
  <c r="C72" i="4"/>
  <c r="G72" i="4" s="1"/>
  <c r="J72" i="4" s="1"/>
  <c r="C73" i="4"/>
  <c r="G73" i="4" s="1"/>
  <c r="J73" i="4" s="1"/>
  <c r="C74" i="4"/>
  <c r="G74" i="4" s="1"/>
  <c r="J74" i="4" s="1"/>
  <c r="C75" i="4"/>
  <c r="G75" i="4" s="1"/>
  <c r="J75" i="4" s="1"/>
  <c r="C76" i="4"/>
  <c r="G76" i="4" s="1"/>
  <c r="J76" i="4" s="1"/>
  <c r="C77" i="4"/>
  <c r="G77" i="4" s="1"/>
  <c r="J77" i="4" s="1"/>
  <c r="C78" i="4"/>
  <c r="G78" i="4" s="1"/>
  <c r="J78" i="4" s="1"/>
  <c r="C79" i="4"/>
  <c r="G79" i="4" s="1"/>
  <c r="J79" i="4" s="1"/>
  <c r="C80" i="4"/>
  <c r="G80" i="4" s="1"/>
  <c r="J80" i="4" s="1"/>
  <c r="C81" i="4"/>
  <c r="G81" i="4" s="1"/>
  <c r="J81" i="4" s="1"/>
  <c r="C82" i="4"/>
  <c r="G82" i="4" s="1"/>
  <c r="J82" i="4" s="1"/>
  <c r="C83" i="4"/>
  <c r="G83" i="4" s="1"/>
  <c r="J83" i="4" s="1"/>
  <c r="C4" i="4"/>
  <c r="G4" i="4" s="1"/>
  <c r="J4" i="4" s="1"/>
  <c r="B5" i="4"/>
  <c r="B6" i="4"/>
  <c r="B7" i="4"/>
  <c r="B8" i="4"/>
  <c r="B9" i="4"/>
  <c r="B10" i="4"/>
  <c r="B11" i="4"/>
  <c r="B12" i="4"/>
  <c r="B13" i="4"/>
  <c r="B14" i="4"/>
  <c r="B15" i="4"/>
  <c r="B16" i="4"/>
  <c r="B17" i="4"/>
  <c r="B18" i="4"/>
  <c r="B19" i="4"/>
  <c r="B20" i="4"/>
  <c r="O20" i="4" s="1"/>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O54" i="4" s="1"/>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4" i="4"/>
  <c r="AH65" i="6" l="1"/>
  <c r="AI65" i="6" s="1"/>
  <c r="AH57" i="6"/>
  <c r="AI57" i="6" s="1"/>
  <c r="AH49" i="6"/>
  <c r="AI49" i="6" s="1"/>
  <c r="AH41" i="6"/>
  <c r="AI41" i="6" s="1"/>
  <c r="AH17" i="6"/>
  <c r="AI17" i="6" s="1"/>
  <c r="AH9" i="6"/>
  <c r="AI9" i="6" s="1"/>
  <c r="AH72" i="6"/>
  <c r="AI72" i="6" s="1"/>
  <c r="AH64" i="6"/>
  <c r="AI64" i="6" s="1"/>
  <c r="AH48" i="6"/>
  <c r="AI48" i="6" s="1"/>
  <c r="AH40" i="6"/>
  <c r="AI40" i="6" s="1"/>
  <c r="AH32" i="6"/>
  <c r="AI32" i="6" s="1"/>
  <c r="AH24" i="6"/>
  <c r="AI24" i="6" s="1"/>
  <c r="AH16" i="6"/>
  <c r="AI16" i="6" s="1"/>
  <c r="AH55" i="6"/>
  <c r="AI55" i="6" s="1"/>
  <c r="AH31" i="6"/>
  <c r="AI31" i="6" s="1"/>
  <c r="AH23" i="6"/>
  <c r="AI23" i="6" s="1"/>
  <c r="AH7" i="6"/>
  <c r="AI7" i="6" s="1"/>
  <c r="AH54" i="6"/>
  <c r="AI54" i="6" s="1"/>
  <c r="AH46" i="6"/>
  <c r="AI46" i="6" s="1"/>
  <c r="AH38" i="6"/>
  <c r="AI38" i="6"/>
  <c r="AH30" i="6"/>
  <c r="AI30" i="6" s="1"/>
  <c r="AH22" i="6"/>
  <c r="AI22" i="6" s="1"/>
  <c r="AH14" i="6"/>
  <c r="AI14" i="6" s="1"/>
  <c r="AH6" i="6"/>
  <c r="AI6" i="6"/>
  <c r="AH77" i="6"/>
  <c r="AI77" i="6" s="1"/>
  <c r="AH37" i="6"/>
  <c r="AI37" i="6" s="1"/>
  <c r="AH4" i="6"/>
  <c r="AI4" i="6" s="1"/>
  <c r="AH76" i="6"/>
  <c r="AI76" i="6" s="1"/>
  <c r="AH68" i="6"/>
  <c r="AI68" i="6" s="1"/>
  <c r="AH60" i="6"/>
  <c r="AI60" i="6" s="1"/>
  <c r="AH52" i="6"/>
  <c r="AI52" i="6" s="1"/>
  <c r="AH58" i="6"/>
  <c r="AI58" i="6" s="1"/>
  <c r="AH61" i="6"/>
  <c r="AI61" i="6" s="1"/>
  <c r="AH43" i="6"/>
  <c r="AI43" i="6" s="1"/>
  <c r="AH35" i="6"/>
  <c r="AI35" i="6" s="1"/>
  <c r="AH19" i="6"/>
  <c r="AI19" i="6"/>
  <c r="AH11" i="6"/>
  <c r="AI11" i="6" s="1"/>
  <c r="AH45" i="6"/>
  <c r="AI45" i="6" s="1"/>
  <c r="AH29" i="6"/>
  <c r="AI29" i="6" s="1"/>
  <c r="AH74" i="6"/>
  <c r="AI74" i="6" s="1"/>
  <c r="AH66" i="6"/>
  <c r="AI66" i="6" s="1"/>
  <c r="AH50" i="6"/>
  <c r="AI50" i="6" s="1"/>
  <c r="AH42" i="6"/>
  <c r="AI42" i="6" s="1"/>
  <c r="AH34" i="6"/>
  <c r="AI34" i="6" s="1"/>
  <c r="AH26" i="6"/>
  <c r="AI26" i="6" s="1"/>
  <c r="AH18" i="6"/>
  <c r="AI18" i="6" s="1"/>
  <c r="AH56" i="6"/>
  <c r="AI56" i="6" s="1"/>
  <c r="M67" i="4"/>
  <c r="E67" i="6" s="1"/>
  <c r="AF67" i="6" s="1"/>
  <c r="I2" i="4"/>
  <c r="L56" i="4"/>
  <c r="D56" i="6" s="1"/>
  <c r="H56" i="4"/>
  <c r="L24" i="4"/>
  <c r="D24" i="6" s="1"/>
  <c r="H24" i="4"/>
  <c r="L79" i="4"/>
  <c r="D79" i="6" s="1"/>
  <c r="H79" i="4"/>
  <c r="L71" i="4"/>
  <c r="D71" i="6" s="1"/>
  <c r="H71" i="4"/>
  <c r="L39" i="4"/>
  <c r="D39" i="6" s="1"/>
  <c r="H39" i="4"/>
  <c r="L15" i="4"/>
  <c r="D15" i="6" s="1"/>
  <c r="H15" i="4"/>
  <c r="L78" i="4"/>
  <c r="D78" i="6" s="1"/>
  <c r="H78" i="4"/>
  <c r="L70" i="4"/>
  <c r="H70" i="4"/>
  <c r="L62" i="4"/>
  <c r="D62" i="6" s="1"/>
  <c r="H62" i="4"/>
  <c r="L46" i="4"/>
  <c r="H46" i="4"/>
  <c r="L38" i="4"/>
  <c r="D38" i="6" s="1"/>
  <c r="H38" i="4"/>
  <c r="L30" i="4"/>
  <c r="D30" i="6" s="1"/>
  <c r="H30" i="4"/>
  <c r="L22" i="4"/>
  <c r="H22" i="4"/>
  <c r="L14" i="4"/>
  <c r="D14" i="6" s="1"/>
  <c r="H14" i="4"/>
  <c r="L6" i="4"/>
  <c r="D6" i="6" s="1"/>
  <c r="H6" i="4"/>
  <c r="L77" i="4"/>
  <c r="D77" i="6" s="1"/>
  <c r="H77" i="4"/>
  <c r="L69" i="4"/>
  <c r="D69" i="6" s="1"/>
  <c r="H69" i="4"/>
  <c r="L61" i="4"/>
  <c r="H61" i="4"/>
  <c r="L53" i="4"/>
  <c r="D53" i="6" s="1"/>
  <c r="H53" i="4"/>
  <c r="L45" i="4"/>
  <c r="D45" i="6" s="1"/>
  <c r="H45" i="4"/>
  <c r="L37" i="4"/>
  <c r="D37" i="6" s="1"/>
  <c r="H37" i="4"/>
  <c r="L29" i="4"/>
  <c r="D29" i="6" s="1"/>
  <c r="H29" i="4"/>
  <c r="L21" i="4"/>
  <c r="D21" i="6" s="1"/>
  <c r="H21" i="4"/>
  <c r="L5" i="4"/>
  <c r="D5" i="6" s="1"/>
  <c r="H5" i="4"/>
  <c r="L48" i="4"/>
  <c r="H48" i="4"/>
  <c r="L8" i="4"/>
  <c r="D8" i="6" s="1"/>
  <c r="H8" i="4"/>
  <c r="G23" i="4"/>
  <c r="J23" i="4" s="1"/>
  <c r="L63" i="4"/>
  <c r="D63" i="6" s="1"/>
  <c r="H63" i="4"/>
  <c r="L31" i="4"/>
  <c r="H31" i="4"/>
  <c r="L7" i="4"/>
  <c r="H7" i="4"/>
  <c r="L83" i="4"/>
  <c r="D83" i="6" s="1"/>
  <c r="H83" i="4"/>
  <c r="L75" i="4"/>
  <c r="D75" i="6" s="1"/>
  <c r="H75" i="4"/>
  <c r="L67" i="4"/>
  <c r="D67" i="6" s="1"/>
  <c r="H67" i="4"/>
  <c r="L59" i="4"/>
  <c r="D59" i="6" s="1"/>
  <c r="H59" i="4"/>
  <c r="L51" i="4"/>
  <c r="D51" i="6" s="1"/>
  <c r="H51" i="4"/>
  <c r="L43" i="4"/>
  <c r="H43" i="4"/>
  <c r="L35" i="4"/>
  <c r="D35" i="6" s="1"/>
  <c r="H35" i="4"/>
  <c r="L27" i="4"/>
  <c r="H27" i="4"/>
  <c r="L19" i="4"/>
  <c r="D19" i="6" s="1"/>
  <c r="H19" i="4"/>
  <c r="L11" i="4"/>
  <c r="H11" i="4"/>
  <c r="L80" i="4"/>
  <c r="D80" i="6" s="1"/>
  <c r="H80" i="4"/>
  <c r="L64" i="4"/>
  <c r="D64" i="6" s="1"/>
  <c r="H64" i="4"/>
  <c r="L32" i="4"/>
  <c r="H32" i="4"/>
  <c r="L55" i="4"/>
  <c r="H55" i="4"/>
  <c r="L23" i="4"/>
  <c r="D23" i="6" s="1"/>
  <c r="H23" i="4"/>
  <c r="L68" i="4"/>
  <c r="D68" i="6" s="1"/>
  <c r="H68" i="4"/>
  <c r="L52" i="4"/>
  <c r="D52" i="6" s="1"/>
  <c r="H52" i="4"/>
  <c r="L28" i="4"/>
  <c r="D28" i="6" s="1"/>
  <c r="H28" i="4"/>
  <c r="L82" i="4"/>
  <c r="D82" i="6" s="1"/>
  <c r="H82" i="4"/>
  <c r="L74" i="4"/>
  <c r="D74" i="6" s="1"/>
  <c r="H74" i="4"/>
  <c r="L66" i="4"/>
  <c r="D66" i="6" s="1"/>
  <c r="H66" i="4"/>
  <c r="L58" i="4"/>
  <c r="D58" i="6" s="1"/>
  <c r="H58" i="4"/>
  <c r="L50" i="4"/>
  <c r="D50" i="6" s="1"/>
  <c r="H50" i="4"/>
  <c r="L42" i="4"/>
  <c r="H42" i="4"/>
  <c r="L34" i="4"/>
  <c r="H34" i="4"/>
  <c r="L26" i="4"/>
  <c r="D26" i="6" s="1"/>
  <c r="H26" i="4"/>
  <c r="L18" i="4"/>
  <c r="D18" i="6" s="1"/>
  <c r="H18" i="4"/>
  <c r="G24" i="4"/>
  <c r="L72" i="4"/>
  <c r="D72" i="6" s="1"/>
  <c r="H72" i="4"/>
  <c r="L40" i="4"/>
  <c r="D40" i="6" s="1"/>
  <c r="H40" i="4"/>
  <c r="L16" i="4"/>
  <c r="H16" i="4"/>
  <c r="L47" i="4"/>
  <c r="H47" i="4"/>
  <c r="L76" i="4"/>
  <c r="D76" i="6" s="1"/>
  <c r="H76" i="4"/>
  <c r="L60" i="4"/>
  <c r="H60" i="4"/>
  <c r="L44" i="4"/>
  <c r="D44" i="6" s="1"/>
  <c r="H44" i="4"/>
  <c r="L36" i="4"/>
  <c r="D36" i="6" s="1"/>
  <c r="H36" i="4"/>
  <c r="L12" i="4"/>
  <c r="D12" i="6" s="1"/>
  <c r="H12" i="4"/>
  <c r="G9" i="4"/>
  <c r="J9" i="4" s="1"/>
  <c r="L81" i="4"/>
  <c r="H81" i="4"/>
  <c r="L73" i="4"/>
  <c r="D73" i="6" s="1"/>
  <c r="H73" i="4"/>
  <c r="L65" i="4"/>
  <c r="D65" i="6" s="1"/>
  <c r="H65" i="4"/>
  <c r="L57" i="4"/>
  <c r="H57" i="4"/>
  <c r="L49" i="4"/>
  <c r="D49" i="6" s="1"/>
  <c r="H49" i="4"/>
  <c r="L41" i="4"/>
  <c r="D41" i="6" s="1"/>
  <c r="H41" i="4"/>
  <c r="L33" i="4"/>
  <c r="D33" i="6" s="1"/>
  <c r="H33" i="4"/>
  <c r="L25" i="4"/>
  <c r="H25" i="4"/>
  <c r="L17" i="4"/>
  <c r="D17" i="6" s="1"/>
  <c r="H17" i="4"/>
  <c r="L9" i="4"/>
  <c r="D9" i="6" s="1"/>
  <c r="H9" i="4"/>
  <c r="L13" i="4"/>
  <c r="D13" i="6" s="1"/>
  <c r="L4" i="4"/>
  <c r="D4" i="6" s="1"/>
  <c r="L10" i="4"/>
  <c r="D10" i="6" s="1"/>
  <c r="I15" i="2"/>
  <c r="I14" i="2"/>
  <c r="I13" i="2"/>
  <c r="I12" i="2"/>
  <c r="I11" i="2"/>
  <c r="I10" i="2"/>
  <c r="I9" i="2"/>
  <c r="I8" i="2"/>
  <c r="I7" i="2"/>
  <c r="I6" i="2"/>
  <c r="I5" i="2"/>
  <c r="B64" i="6"/>
  <c r="B37"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F83" i="4"/>
  <c r="F82" i="4"/>
  <c r="F81" i="4"/>
  <c r="F79" i="4"/>
  <c r="F77" i="4"/>
  <c r="F76" i="4"/>
  <c r="F75" i="4"/>
  <c r="F73" i="4"/>
  <c r="F71" i="4"/>
  <c r="F69" i="4"/>
  <c r="F68" i="4"/>
  <c r="F67" i="4"/>
  <c r="F66" i="4"/>
  <c r="F65" i="4"/>
  <c r="F61" i="4"/>
  <c r="F53" i="4"/>
  <c r="F37" i="4"/>
  <c r="F33" i="4"/>
  <c r="F31" i="4"/>
  <c r="B29" i="6"/>
  <c r="F29" i="4"/>
  <c r="F25" i="4"/>
  <c r="F21" i="4"/>
  <c r="F18" i="4"/>
  <c r="F16" i="4"/>
  <c r="F15" i="4"/>
  <c r="F12" i="4"/>
  <c r="F8" i="4"/>
  <c r="F6" i="4"/>
  <c r="F4" i="4"/>
  <c r="C15" i="2"/>
  <c r="D15" i="2" s="1"/>
  <c r="C14" i="2"/>
  <c r="C13" i="2"/>
  <c r="C12" i="2"/>
  <c r="C11" i="2"/>
  <c r="C10" i="2"/>
  <c r="C9" i="2"/>
  <c r="C8" i="2"/>
  <c r="C7" i="2"/>
  <c r="C6" i="2"/>
  <c r="C5" i="2"/>
  <c r="AH67" i="6" l="1"/>
  <c r="AI67" i="6" s="1"/>
  <c r="O51" i="4"/>
  <c r="AU29" i="6"/>
  <c r="AU53" i="6"/>
  <c r="AU38" i="6"/>
  <c r="AU62" i="6"/>
  <c r="AU23" i="6"/>
  <c r="AU39" i="6"/>
  <c r="AU55" i="6"/>
  <c r="AU4" i="6"/>
  <c r="AU20" i="6"/>
  <c r="AU28" i="6"/>
  <c r="AU44" i="6"/>
  <c r="AU52" i="6"/>
  <c r="AU60" i="6"/>
  <c r="AU68" i="6"/>
  <c r="AU76" i="6"/>
  <c r="AU5" i="6"/>
  <c r="AU21" i="6"/>
  <c r="AU61" i="6"/>
  <c r="AU30" i="6"/>
  <c r="AU31" i="6"/>
  <c r="AU24" i="6"/>
  <c r="AU48" i="6"/>
  <c r="AU72" i="6"/>
  <c r="AU49" i="6"/>
  <c r="AU57" i="6"/>
  <c r="AU65" i="6"/>
  <c r="AU73" i="6"/>
  <c r="AU81" i="6"/>
  <c r="AU37" i="6"/>
  <c r="AU69" i="6"/>
  <c r="AU14" i="6"/>
  <c r="AU46" i="6"/>
  <c r="AU7" i="6"/>
  <c r="AU63" i="6"/>
  <c r="AU32" i="6"/>
  <c r="AU56" i="6"/>
  <c r="AU80" i="6"/>
  <c r="AU9" i="6"/>
  <c r="AU17" i="6"/>
  <c r="AU25" i="6"/>
  <c r="AU41" i="6"/>
  <c r="AU10" i="6"/>
  <c r="AU18" i="6"/>
  <c r="AU26" i="6"/>
  <c r="AU34" i="6"/>
  <c r="AU42" i="6"/>
  <c r="AU50" i="6"/>
  <c r="AU58" i="6"/>
  <c r="AU66" i="6"/>
  <c r="AU74" i="6"/>
  <c r="AU13" i="6"/>
  <c r="AU45" i="6"/>
  <c r="AU77" i="6"/>
  <c r="AU6" i="6"/>
  <c r="AU22" i="6"/>
  <c r="AU54" i="6"/>
  <c r="AU47" i="6"/>
  <c r="AU71" i="6"/>
  <c r="AU16" i="6"/>
  <c r="AU40" i="6"/>
  <c r="AU64" i="6"/>
  <c r="AU11" i="6"/>
  <c r="AU19" i="6"/>
  <c r="AU35" i="6"/>
  <c r="AU43" i="6"/>
  <c r="AU51" i="6"/>
  <c r="AU59" i="6"/>
  <c r="AU67" i="6"/>
  <c r="AU83" i="6"/>
  <c r="O76" i="4"/>
  <c r="D12" i="2"/>
  <c r="O71" i="4"/>
  <c r="D13" i="2"/>
  <c r="O8" i="4"/>
  <c r="D14" i="2"/>
  <c r="O72" i="4"/>
  <c r="O62" i="4"/>
  <c r="O79" i="4"/>
  <c r="O52" i="4"/>
  <c r="O4" i="4"/>
  <c r="O37" i="4"/>
  <c r="O14" i="4"/>
  <c r="O45" i="4"/>
  <c r="O64" i="4"/>
  <c r="O56" i="4"/>
  <c r="O74" i="4"/>
  <c r="O31" i="4"/>
  <c r="D31" i="6"/>
  <c r="O21" i="4"/>
  <c r="O63" i="4"/>
  <c r="O49" i="4"/>
  <c r="O16" i="4"/>
  <c r="D16" i="6"/>
  <c r="O70" i="4"/>
  <c r="D70" i="6"/>
  <c r="O59" i="4"/>
  <c r="O68" i="4"/>
  <c r="O24" i="4"/>
  <c r="O78" i="4"/>
  <c r="O29" i="4"/>
  <c r="O40" i="4"/>
  <c r="O65" i="4"/>
  <c r="O73" i="4"/>
  <c r="O81" i="4"/>
  <c r="D81" i="6"/>
  <c r="O75" i="4"/>
  <c r="O80" i="4"/>
  <c r="O10" i="4"/>
  <c r="O83" i="4"/>
  <c r="O58" i="4"/>
  <c r="O53" i="4"/>
  <c r="O9" i="4"/>
  <c r="O18" i="4"/>
  <c r="O67" i="4"/>
  <c r="O60" i="4"/>
  <c r="D60" i="6"/>
  <c r="O32" i="4"/>
  <c r="D32" i="6"/>
  <c r="D61" i="6"/>
  <c r="O61" i="4"/>
  <c r="O46" i="4"/>
  <c r="D46" i="6"/>
  <c r="O28" i="4"/>
  <c r="O30" i="4"/>
  <c r="O12" i="4"/>
  <c r="O66" i="4"/>
  <c r="O69" i="4"/>
  <c r="O17" i="4"/>
  <c r="O26" i="4"/>
  <c r="O11" i="4"/>
  <c r="D11" i="6"/>
  <c r="O43" i="4"/>
  <c r="D43" i="6"/>
  <c r="O25" i="4"/>
  <c r="D25" i="6"/>
  <c r="O57" i="4"/>
  <c r="D57" i="6"/>
  <c r="O42" i="4"/>
  <c r="D42" i="6"/>
  <c r="O27" i="4"/>
  <c r="D27" i="6"/>
  <c r="O7" i="4"/>
  <c r="D7" i="6"/>
  <c r="O19" i="4"/>
  <c r="O36" i="4"/>
  <c r="O15" i="4"/>
  <c r="O6" i="4"/>
  <c r="O5" i="4"/>
  <c r="O77" i="4"/>
  <c r="O33" i="4"/>
  <c r="O50" i="4"/>
  <c r="O55" i="4"/>
  <c r="D55" i="6"/>
  <c r="O34" i="4"/>
  <c r="D34" i="6"/>
  <c r="O47" i="4"/>
  <c r="D47" i="6"/>
  <c r="O48" i="4"/>
  <c r="D48" i="6"/>
  <c r="O22" i="4"/>
  <c r="D22" i="6"/>
  <c r="O35" i="4"/>
  <c r="O44" i="4"/>
  <c r="O39" i="4"/>
  <c r="O38" i="4"/>
  <c r="O13" i="4"/>
  <c r="O23" i="4"/>
  <c r="O41" i="4"/>
  <c r="O82" i="4"/>
  <c r="H29" i="6"/>
  <c r="I29" i="6"/>
  <c r="G29" i="6"/>
  <c r="R29" i="6" s="1"/>
  <c r="I37" i="6"/>
  <c r="H37" i="6"/>
  <c r="G37" i="6"/>
  <c r="R37" i="6" s="1"/>
  <c r="G64" i="6"/>
  <c r="R64" i="6" s="1"/>
  <c r="K64" i="6"/>
  <c r="J64" i="6"/>
  <c r="I64" i="6"/>
  <c r="H64" i="6"/>
  <c r="D11" i="2"/>
  <c r="D8" i="2"/>
  <c r="D6" i="2"/>
  <c r="D5" i="2"/>
  <c r="D9" i="2"/>
  <c r="D7" i="2"/>
  <c r="D10" i="2"/>
  <c r="B63" i="6"/>
  <c r="B26" i="6"/>
  <c r="F26" i="4"/>
  <c r="B11" i="6"/>
  <c r="B19" i="6"/>
  <c r="B27" i="6"/>
  <c r="B35" i="6"/>
  <c r="B43" i="6"/>
  <c r="B51" i="6"/>
  <c r="B59" i="6"/>
  <c r="F45" i="4"/>
  <c r="B5" i="6"/>
  <c r="B21" i="6"/>
  <c r="B45" i="6"/>
  <c r="B53" i="6"/>
  <c r="B61" i="6"/>
  <c r="F5" i="4"/>
  <c r="B15" i="6"/>
  <c r="B39" i="6"/>
  <c r="B47" i="6"/>
  <c r="B55" i="6"/>
  <c r="B9" i="6"/>
  <c r="B41" i="6"/>
  <c r="B49" i="6"/>
  <c r="B57" i="6"/>
  <c r="C20" i="6"/>
  <c r="C36" i="6"/>
  <c r="C38" i="6"/>
  <c r="C39" i="6"/>
  <c r="C60" i="6"/>
  <c r="C62" i="6"/>
  <c r="C79" i="6"/>
  <c r="C13" i="6"/>
  <c r="C31" i="6"/>
  <c r="C53" i="6"/>
  <c r="C70" i="6"/>
  <c r="C14" i="6"/>
  <c r="C55" i="6"/>
  <c r="C71" i="6"/>
  <c r="C15" i="6"/>
  <c r="C37" i="6"/>
  <c r="C77" i="6"/>
  <c r="C22" i="6"/>
  <c r="C5" i="6"/>
  <c r="C23" i="6"/>
  <c r="C44" i="6"/>
  <c r="C63" i="6"/>
  <c r="C6" i="6"/>
  <c r="C28" i="6"/>
  <c r="C45" i="6"/>
  <c r="C68" i="6"/>
  <c r="C61" i="6"/>
  <c r="C12" i="6"/>
  <c r="C29" i="6"/>
  <c r="C46" i="6"/>
  <c r="C69" i="6"/>
  <c r="C30" i="6"/>
  <c r="C43" i="6"/>
  <c r="C52" i="6"/>
  <c r="C54" i="6"/>
  <c r="C11" i="6"/>
  <c r="C19" i="6"/>
  <c r="C27" i="6"/>
  <c r="C35" i="6"/>
  <c r="C51" i="6"/>
  <c r="C59" i="6"/>
  <c r="C67" i="6"/>
  <c r="C75" i="6"/>
  <c r="C83" i="6"/>
  <c r="C76" i="6"/>
  <c r="C7" i="6"/>
  <c r="C8" i="6"/>
  <c r="C16" i="6"/>
  <c r="C24" i="6"/>
  <c r="C32" i="6"/>
  <c r="C40" i="6"/>
  <c r="C48" i="6"/>
  <c r="C56" i="6"/>
  <c r="C64" i="6"/>
  <c r="C72" i="6"/>
  <c r="C80" i="6"/>
  <c r="C21" i="6"/>
  <c r="C78" i="6"/>
  <c r="C9" i="6"/>
  <c r="C17" i="6"/>
  <c r="C25" i="6"/>
  <c r="C33" i="6"/>
  <c r="C41" i="6"/>
  <c r="C49" i="6"/>
  <c r="C57" i="6"/>
  <c r="C65" i="6"/>
  <c r="C73" i="6"/>
  <c r="C81" i="6"/>
  <c r="C47" i="6"/>
  <c r="C10" i="6"/>
  <c r="C18" i="6"/>
  <c r="C26" i="6"/>
  <c r="C34" i="6"/>
  <c r="C42" i="6"/>
  <c r="C50" i="6"/>
  <c r="C58" i="6"/>
  <c r="C66" i="6"/>
  <c r="C74" i="6"/>
  <c r="C82" i="6"/>
  <c r="F11" i="4"/>
  <c r="F9" i="4"/>
  <c r="F41" i="4"/>
  <c r="F49" i="4"/>
  <c r="F57" i="4"/>
  <c r="F74" i="4"/>
  <c r="F34" i="4"/>
  <c r="F70" i="4"/>
  <c r="F7" i="4"/>
  <c r="F14" i="4"/>
  <c r="F13" i="4"/>
  <c r="F23" i="4"/>
  <c r="F78" i="4"/>
  <c r="F10" i="4"/>
  <c r="F17" i="4"/>
  <c r="F24" i="4"/>
  <c r="F19" i="4"/>
  <c r="F32" i="4"/>
  <c r="F39" i="4"/>
  <c r="F43" i="4"/>
  <c r="F47" i="4"/>
  <c r="F51" i="4"/>
  <c r="F55" i="4"/>
  <c r="F59" i="4"/>
  <c r="F63" i="4"/>
  <c r="F72" i="4"/>
  <c r="F80" i="4"/>
  <c r="G2" i="4"/>
  <c r="F38" i="4"/>
  <c r="F40" i="4"/>
  <c r="F42" i="4"/>
  <c r="F44" i="4"/>
  <c r="F46" i="4"/>
  <c r="F48" i="4"/>
  <c r="F50" i="4"/>
  <c r="F52" i="4"/>
  <c r="F54" i="4"/>
  <c r="F56" i="4"/>
  <c r="F58" i="4"/>
  <c r="F60" i="4"/>
  <c r="F62" i="4"/>
  <c r="F64" i="4"/>
  <c r="F27" i="4"/>
  <c r="F35" i="4"/>
  <c r="F20" i="4"/>
  <c r="F28" i="4"/>
  <c r="F36" i="4"/>
  <c r="F22" i="4"/>
  <c r="F30" i="4"/>
  <c r="P37" i="6" l="1"/>
  <c r="Q64" i="6"/>
  <c r="Q29" i="6"/>
  <c r="O2" i="4"/>
  <c r="S37" i="6"/>
  <c r="S64" i="6"/>
  <c r="S29" i="6"/>
  <c r="L64" i="6"/>
  <c r="Q37" i="6"/>
  <c r="J37" i="6"/>
  <c r="K37" i="6"/>
  <c r="P29" i="6"/>
  <c r="Q39" i="6"/>
  <c r="P39" i="6"/>
  <c r="O39" i="6"/>
  <c r="N39" i="6"/>
  <c r="M39" i="6"/>
  <c r="L39" i="6"/>
  <c r="J39" i="6"/>
  <c r="K39" i="6"/>
  <c r="I39" i="6"/>
  <c r="H39" i="6"/>
  <c r="G39" i="6"/>
  <c r="R39" i="6" s="1"/>
  <c r="M15" i="6"/>
  <c r="L15" i="6"/>
  <c r="J15" i="6"/>
  <c r="K15" i="6"/>
  <c r="I15" i="6"/>
  <c r="H15" i="6"/>
  <c r="G15" i="6"/>
  <c r="R15" i="6" s="1"/>
  <c r="Q15" i="6"/>
  <c r="N15" i="6"/>
  <c r="P15" i="6"/>
  <c r="O15" i="6"/>
  <c r="Q26" i="6"/>
  <c r="P26" i="6"/>
  <c r="O26" i="6"/>
  <c r="N26" i="6"/>
  <c r="M26" i="6"/>
  <c r="I26" i="6"/>
  <c r="L26" i="6"/>
  <c r="K26" i="6"/>
  <c r="J26" i="6"/>
  <c r="H26" i="6"/>
  <c r="G26" i="6"/>
  <c r="R26" i="6" s="1"/>
  <c r="Q45" i="6"/>
  <c r="P45" i="6"/>
  <c r="O45" i="6"/>
  <c r="N45" i="6"/>
  <c r="M45" i="6"/>
  <c r="L45" i="6"/>
  <c r="K45" i="6"/>
  <c r="J45" i="6"/>
  <c r="I45" i="6"/>
  <c r="H45" i="6"/>
  <c r="G45" i="6"/>
  <c r="R45" i="6" s="1"/>
  <c r="M64" i="6"/>
  <c r="K21" i="6"/>
  <c r="H21" i="6"/>
  <c r="J21" i="6"/>
  <c r="I21" i="6"/>
  <c r="G21" i="6"/>
  <c r="R21" i="6" s="1"/>
  <c r="Q21" i="6"/>
  <c r="P21" i="6"/>
  <c r="O21" i="6"/>
  <c r="M21" i="6"/>
  <c r="L21" i="6"/>
  <c r="N21" i="6"/>
  <c r="N64" i="6"/>
  <c r="K5" i="6"/>
  <c r="J5" i="6"/>
  <c r="H5" i="6"/>
  <c r="I5" i="6"/>
  <c r="G5" i="6"/>
  <c r="R5" i="6" s="1"/>
  <c r="P5" i="6"/>
  <c r="Q5" i="6"/>
  <c r="O5" i="6"/>
  <c r="N5" i="6"/>
  <c r="M5" i="6"/>
  <c r="L5" i="6"/>
  <c r="O64" i="6"/>
  <c r="J29" i="6"/>
  <c r="P64" i="6"/>
  <c r="K29" i="6"/>
  <c r="L29" i="6"/>
  <c r="P61" i="6"/>
  <c r="Q61" i="6"/>
  <c r="O61" i="6"/>
  <c r="N61" i="6"/>
  <c r="M61" i="6"/>
  <c r="L61" i="6"/>
  <c r="K61" i="6"/>
  <c r="J61" i="6"/>
  <c r="I61" i="6"/>
  <c r="H61" i="6"/>
  <c r="G61" i="6"/>
  <c r="R61" i="6" s="1"/>
  <c r="I59" i="6"/>
  <c r="H59" i="6"/>
  <c r="G59" i="6"/>
  <c r="R59" i="6" s="1"/>
  <c r="N59" i="6"/>
  <c r="Q59" i="6"/>
  <c r="P59" i="6"/>
  <c r="O59" i="6"/>
  <c r="M59" i="6"/>
  <c r="L59" i="6"/>
  <c r="J59" i="6"/>
  <c r="K59" i="6"/>
  <c r="O57" i="6"/>
  <c r="N57" i="6"/>
  <c r="M57" i="6"/>
  <c r="L57" i="6"/>
  <c r="K57" i="6"/>
  <c r="J57" i="6"/>
  <c r="I57" i="6"/>
  <c r="H57" i="6"/>
  <c r="G57" i="6"/>
  <c r="R57" i="6" s="1"/>
  <c r="Q57" i="6"/>
  <c r="P57" i="6"/>
  <c r="Q51" i="6"/>
  <c r="P51" i="6"/>
  <c r="O51" i="6"/>
  <c r="N51" i="6"/>
  <c r="M51" i="6"/>
  <c r="L51" i="6"/>
  <c r="K51" i="6"/>
  <c r="J51" i="6"/>
  <c r="I51" i="6"/>
  <c r="H51" i="6"/>
  <c r="G51" i="6"/>
  <c r="R51" i="6" s="1"/>
  <c r="N37" i="6"/>
  <c r="M29" i="6"/>
  <c r="M63" i="6"/>
  <c r="L63" i="6"/>
  <c r="K63" i="6"/>
  <c r="J63" i="6"/>
  <c r="I63" i="6"/>
  <c r="H63" i="6"/>
  <c r="G63" i="6"/>
  <c r="R63" i="6" s="1"/>
  <c r="Q63" i="6"/>
  <c r="P63" i="6"/>
  <c r="O63" i="6"/>
  <c r="N63" i="6"/>
  <c r="K53" i="6"/>
  <c r="J53" i="6"/>
  <c r="I53" i="6"/>
  <c r="H53" i="6"/>
  <c r="G53" i="6"/>
  <c r="R53" i="6" s="1"/>
  <c r="P53" i="6"/>
  <c r="Q53" i="6"/>
  <c r="O53" i="6"/>
  <c r="N53" i="6"/>
  <c r="M53" i="6"/>
  <c r="L53" i="6"/>
  <c r="G49" i="6"/>
  <c r="R49" i="6" s="1"/>
  <c r="L49" i="6"/>
  <c r="Q49" i="6"/>
  <c r="P49" i="6"/>
  <c r="O49" i="6"/>
  <c r="N49" i="6"/>
  <c r="M49" i="6"/>
  <c r="K49" i="6"/>
  <c r="J49" i="6"/>
  <c r="I49" i="6"/>
  <c r="H49" i="6"/>
  <c r="I43" i="6"/>
  <c r="H43" i="6"/>
  <c r="G43" i="6"/>
  <c r="R43" i="6" s="1"/>
  <c r="N43" i="6"/>
  <c r="Q43" i="6"/>
  <c r="P43" i="6"/>
  <c r="O43" i="6"/>
  <c r="M43" i="6"/>
  <c r="L43" i="6"/>
  <c r="J43" i="6"/>
  <c r="K43" i="6"/>
  <c r="M37" i="6"/>
  <c r="N29" i="6"/>
  <c r="O41" i="6"/>
  <c r="N41" i="6"/>
  <c r="M41" i="6"/>
  <c r="L41" i="6"/>
  <c r="K41" i="6"/>
  <c r="J41" i="6"/>
  <c r="I41" i="6"/>
  <c r="H41" i="6"/>
  <c r="G41" i="6"/>
  <c r="R41" i="6" s="1"/>
  <c r="Q41" i="6"/>
  <c r="P41" i="6"/>
  <c r="Q35" i="6"/>
  <c r="P35" i="6"/>
  <c r="N35" i="6"/>
  <c r="O35" i="6"/>
  <c r="M35" i="6"/>
  <c r="L35" i="6"/>
  <c r="K35" i="6"/>
  <c r="J35" i="6"/>
  <c r="I35" i="6"/>
  <c r="H35" i="6"/>
  <c r="G35" i="6"/>
  <c r="R35" i="6" s="1"/>
  <c r="L37" i="6"/>
  <c r="Q55" i="6"/>
  <c r="P55" i="6"/>
  <c r="O55" i="6"/>
  <c r="J55" i="6"/>
  <c r="N55" i="6"/>
  <c r="M55" i="6"/>
  <c r="L55" i="6"/>
  <c r="K55" i="6"/>
  <c r="I55" i="6"/>
  <c r="H55" i="6"/>
  <c r="G55" i="6"/>
  <c r="R55" i="6" s="1"/>
  <c r="O9" i="6"/>
  <c r="N9" i="6"/>
  <c r="L9" i="6"/>
  <c r="M9" i="6"/>
  <c r="K9" i="6"/>
  <c r="J9" i="6"/>
  <c r="I9" i="6"/>
  <c r="H9" i="6"/>
  <c r="G9" i="6"/>
  <c r="R9" i="6" s="1"/>
  <c r="Q9" i="6"/>
  <c r="P9" i="6"/>
  <c r="I27" i="6"/>
  <c r="H27" i="6"/>
  <c r="G27" i="6"/>
  <c r="R27" i="6" s="1"/>
  <c r="Q27" i="6"/>
  <c r="P27" i="6"/>
  <c r="O27" i="6"/>
  <c r="N27" i="6"/>
  <c r="M27" i="6"/>
  <c r="L27" i="6"/>
  <c r="K27" i="6"/>
  <c r="J27" i="6"/>
  <c r="O37" i="6"/>
  <c r="O29" i="6"/>
  <c r="Q19" i="6"/>
  <c r="P19" i="6"/>
  <c r="N19" i="6"/>
  <c r="O19" i="6"/>
  <c r="M19" i="6"/>
  <c r="L19" i="6"/>
  <c r="K19" i="6"/>
  <c r="J19" i="6"/>
  <c r="I19" i="6"/>
  <c r="H19" i="6"/>
  <c r="G19" i="6"/>
  <c r="R19" i="6" s="1"/>
  <c r="M47" i="6"/>
  <c r="L47" i="6"/>
  <c r="K47" i="6"/>
  <c r="J47" i="6"/>
  <c r="I47" i="6"/>
  <c r="H47" i="6"/>
  <c r="G47" i="6"/>
  <c r="R47" i="6" s="1"/>
  <c r="Q47" i="6"/>
  <c r="P47" i="6"/>
  <c r="N47" i="6"/>
  <c r="O47" i="6"/>
  <c r="I11" i="6"/>
  <c r="H11" i="6"/>
  <c r="G11" i="6"/>
  <c r="R11" i="6" s="1"/>
  <c r="Q11" i="6"/>
  <c r="P11" i="6"/>
  <c r="N11" i="6"/>
  <c r="AX11" i="6" s="1"/>
  <c r="O11" i="6"/>
  <c r="M11" i="6"/>
  <c r="J11" i="6"/>
  <c r="L11" i="6"/>
  <c r="K11" i="6"/>
  <c r="B4" i="6"/>
  <c r="B68" i="6"/>
  <c r="B20" i="6"/>
  <c r="B58" i="6"/>
  <c r="B42" i="6"/>
  <c r="B80" i="6"/>
  <c r="B36" i="6"/>
  <c r="B54" i="6"/>
  <c r="B38" i="6"/>
  <c r="B12" i="6"/>
  <c r="B69" i="6"/>
  <c r="B8" i="6"/>
  <c r="B33" i="6"/>
  <c r="B30" i="6"/>
  <c r="B78" i="6"/>
  <c r="B6" i="6"/>
  <c r="B81" i="6"/>
  <c r="B50" i="6"/>
  <c r="B31" i="6"/>
  <c r="B74" i="6"/>
  <c r="B79" i="6"/>
  <c r="B32" i="6"/>
  <c r="B67" i="6"/>
  <c r="B13" i="6"/>
  <c r="B65" i="6"/>
  <c r="B48" i="6"/>
  <c r="B72" i="6"/>
  <c r="B62" i="6"/>
  <c r="B46" i="6"/>
  <c r="B77" i="6"/>
  <c r="B23" i="6"/>
  <c r="B25" i="6"/>
  <c r="B83" i="6"/>
  <c r="B76" i="6"/>
  <c r="B24" i="6"/>
  <c r="B34" i="6"/>
  <c r="B28" i="6"/>
  <c r="B70" i="6"/>
  <c r="B60" i="6"/>
  <c r="B44" i="6"/>
  <c r="B10" i="6"/>
  <c r="B75" i="6"/>
  <c r="B17" i="6"/>
  <c r="B7" i="6"/>
  <c r="B52" i="6"/>
  <c r="B73" i="6"/>
  <c r="B16" i="6"/>
  <c r="B82" i="6"/>
  <c r="B66" i="6"/>
  <c r="B18" i="6"/>
  <c r="B56" i="6"/>
  <c r="B40" i="6"/>
  <c r="B71" i="6"/>
  <c r="B14" i="6"/>
  <c r="B22" i="6"/>
  <c r="C4" i="6"/>
  <c r="F2" i="4"/>
  <c r="H2" i="4"/>
  <c r="AX27" i="6" l="1"/>
  <c r="AX51" i="6"/>
  <c r="AX59" i="6"/>
  <c r="AX64" i="6"/>
  <c r="AX29" i="6"/>
  <c r="AX37" i="6"/>
  <c r="AX5" i="6"/>
  <c r="AX19" i="6"/>
  <c r="AX15" i="6"/>
  <c r="AX45" i="6"/>
  <c r="T29" i="6"/>
  <c r="AZ29" i="6" s="1"/>
  <c r="AY29" i="6"/>
  <c r="AX43" i="6"/>
  <c r="AX39" i="6"/>
  <c r="T64" i="6"/>
  <c r="AY64" i="6"/>
  <c r="T37" i="6"/>
  <c r="AZ37" i="6" s="1"/>
  <c r="AY37" i="6"/>
  <c r="AX35" i="6"/>
  <c r="AX55" i="6"/>
  <c r="AX47" i="6"/>
  <c r="AX49" i="6"/>
  <c r="AX21" i="6"/>
  <c r="AX41" i="6"/>
  <c r="AX26" i="6"/>
  <c r="AX57" i="6"/>
  <c r="AX61" i="6"/>
  <c r="AX53" i="6"/>
  <c r="AX63" i="6"/>
  <c r="AX9" i="6"/>
  <c r="U37" i="6"/>
  <c r="BA37" i="6" s="1"/>
  <c r="S55" i="6"/>
  <c r="S53" i="6"/>
  <c r="S11" i="6"/>
  <c r="S41" i="6"/>
  <c r="S45" i="6"/>
  <c r="S9" i="6"/>
  <c r="S49" i="6"/>
  <c r="S59" i="6"/>
  <c r="S51" i="6"/>
  <c r="S35" i="6"/>
  <c r="S43" i="6"/>
  <c r="S47" i="6"/>
  <c r="S19" i="6"/>
  <c r="S21" i="6"/>
  <c r="S15" i="6"/>
  <c r="S57" i="6"/>
  <c r="S27" i="6"/>
  <c r="S61" i="6"/>
  <c r="S26" i="6"/>
  <c r="S63" i="6"/>
  <c r="S5" i="6"/>
  <c r="S39" i="6"/>
  <c r="Q67" i="6"/>
  <c r="P67" i="6"/>
  <c r="O67" i="6"/>
  <c r="N67" i="6"/>
  <c r="M67" i="6"/>
  <c r="L67" i="6"/>
  <c r="K67" i="6"/>
  <c r="J67" i="6"/>
  <c r="I67" i="6"/>
  <c r="H67" i="6"/>
  <c r="G67" i="6"/>
  <c r="H14" i="6"/>
  <c r="G14" i="6"/>
  <c r="M14" i="6"/>
  <c r="Q14" i="6"/>
  <c r="P14" i="6"/>
  <c r="O14" i="6"/>
  <c r="N14" i="6"/>
  <c r="L14" i="6"/>
  <c r="I14" i="6"/>
  <c r="K14" i="6"/>
  <c r="J14" i="6"/>
  <c r="P70" i="6"/>
  <c r="M70" i="6"/>
  <c r="O70" i="6"/>
  <c r="N70" i="6"/>
  <c r="L70" i="6"/>
  <c r="K70" i="6"/>
  <c r="J70" i="6"/>
  <c r="I70" i="6"/>
  <c r="H70" i="6"/>
  <c r="G70" i="6"/>
  <c r="Q70" i="6"/>
  <c r="Q32" i="6"/>
  <c r="P32" i="6"/>
  <c r="O32" i="6"/>
  <c r="N32" i="6"/>
  <c r="M32" i="6"/>
  <c r="G32" i="6"/>
  <c r="L32" i="6"/>
  <c r="K32" i="6"/>
  <c r="J32" i="6"/>
  <c r="I32" i="6"/>
  <c r="H32" i="6"/>
  <c r="O80" i="6"/>
  <c r="Q80" i="6"/>
  <c r="P80" i="6"/>
  <c r="N80" i="6"/>
  <c r="M80" i="6"/>
  <c r="L80" i="6"/>
  <c r="K80" i="6"/>
  <c r="J80" i="6"/>
  <c r="G80" i="6"/>
  <c r="I80" i="6"/>
  <c r="H80" i="6"/>
  <c r="P13" i="6"/>
  <c r="Q13" i="6"/>
  <c r="O13" i="6"/>
  <c r="N13" i="6"/>
  <c r="M13" i="6"/>
  <c r="L13" i="6"/>
  <c r="K13" i="6"/>
  <c r="J13" i="6"/>
  <c r="I13" i="6"/>
  <c r="H13" i="6"/>
  <c r="G13" i="6"/>
  <c r="Q71" i="6"/>
  <c r="J71" i="6"/>
  <c r="P71" i="6"/>
  <c r="O71" i="6"/>
  <c r="N71" i="6"/>
  <c r="M71" i="6"/>
  <c r="L71" i="6"/>
  <c r="K71" i="6"/>
  <c r="I71" i="6"/>
  <c r="H71" i="6"/>
  <c r="G71" i="6"/>
  <c r="K36" i="6"/>
  <c r="Q36" i="6"/>
  <c r="P36" i="6"/>
  <c r="O36" i="6"/>
  <c r="N36" i="6"/>
  <c r="M36" i="6"/>
  <c r="L36" i="6"/>
  <c r="J36" i="6"/>
  <c r="I36" i="6"/>
  <c r="H36" i="6"/>
  <c r="G36" i="6"/>
  <c r="J56" i="6"/>
  <c r="G56" i="6"/>
  <c r="I56" i="6"/>
  <c r="H56" i="6"/>
  <c r="O56" i="6"/>
  <c r="Q56" i="6"/>
  <c r="P56" i="6"/>
  <c r="N56" i="6"/>
  <c r="M56" i="6"/>
  <c r="L56" i="6"/>
  <c r="K56" i="6"/>
  <c r="J24" i="6"/>
  <c r="I24" i="6"/>
  <c r="H24" i="6"/>
  <c r="G24" i="6"/>
  <c r="Q24" i="6"/>
  <c r="O24" i="6"/>
  <c r="P24" i="6"/>
  <c r="N24" i="6"/>
  <c r="M24" i="6"/>
  <c r="L24" i="6"/>
  <c r="K24" i="6"/>
  <c r="M31" i="6"/>
  <c r="L31" i="6"/>
  <c r="J31" i="6"/>
  <c r="K31" i="6"/>
  <c r="I31" i="6"/>
  <c r="H31" i="6"/>
  <c r="G31" i="6"/>
  <c r="Q31" i="6"/>
  <c r="N31" i="6"/>
  <c r="P31" i="6"/>
  <c r="O31" i="6"/>
  <c r="Q20" i="6"/>
  <c r="P20" i="6"/>
  <c r="K20" i="6"/>
  <c r="O20" i="6"/>
  <c r="N20" i="6"/>
  <c r="M20" i="6"/>
  <c r="L20" i="6"/>
  <c r="J20" i="6"/>
  <c r="I20" i="6"/>
  <c r="H20" i="6"/>
  <c r="G20" i="6"/>
  <c r="P22" i="6"/>
  <c r="O22" i="6"/>
  <c r="N22" i="6"/>
  <c r="M22" i="6"/>
  <c r="L22" i="6"/>
  <c r="K22" i="6"/>
  <c r="J22" i="6"/>
  <c r="I22" i="6"/>
  <c r="H22" i="6"/>
  <c r="G22" i="6"/>
  <c r="Q22" i="6"/>
  <c r="L18" i="6"/>
  <c r="K18" i="6"/>
  <c r="J18" i="6"/>
  <c r="I18" i="6"/>
  <c r="H18" i="6"/>
  <c r="G18" i="6"/>
  <c r="Q18" i="6"/>
  <c r="P18" i="6"/>
  <c r="O18" i="6"/>
  <c r="N18" i="6"/>
  <c r="M18" i="6"/>
  <c r="Q58" i="6"/>
  <c r="P58" i="6"/>
  <c r="O58" i="6"/>
  <c r="N58" i="6"/>
  <c r="M58" i="6"/>
  <c r="L58" i="6"/>
  <c r="K58" i="6"/>
  <c r="I58" i="6"/>
  <c r="J58" i="6"/>
  <c r="H58" i="6"/>
  <c r="G58" i="6"/>
  <c r="L50" i="6"/>
  <c r="I50" i="6"/>
  <c r="K50" i="6"/>
  <c r="J50" i="6"/>
  <c r="H50" i="6"/>
  <c r="G50" i="6"/>
  <c r="Q50" i="6"/>
  <c r="P50" i="6"/>
  <c r="O50" i="6"/>
  <c r="M50" i="6"/>
  <c r="N50" i="6"/>
  <c r="L66" i="6"/>
  <c r="K66" i="6"/>
  <c r="I66" i="6"/>
  <c r="J66" i="6"/>
  <c r="H66" i="6"/>
  <c r="Q66" i="6"/>
  <c r="G66" i="6"/>
  <c r="P66" i="6"/>
  <c r="O66" i="6"/>
  <c r="N66" i="6"/>
  <c r="M66" i="6"/>
  <c r="Q83" i="6"/>
  <c r="P83" i="6"/>
  <c r="O83" i="6"/>
  <c r="N83" i="6"/>
  <c r="M83" i="6"/>
  <c r="L83" i="6"/>
  <c r="K83" i="6"/>
  <c r="J83" i="6"/>
  <c r="I83" i="6"/>
  <c r="H83" i="6"/>
  <c r="G83" i="6"/>
  <c r="G81" i="6"/>
  <c r="Q81" i="6"/>
  <c r="P81" i="6"/>
  <c r="O81" i="6"/>
  <c r="N81" i="6"/>
  <c r="L81" i="6"/>
  <c r="M81" i="6"/>
  <c r="K81" i="6"/>
  <c r="J81" i="6"/>
  <c r="I81" i="6"/>
  <c r="H81" i="6"/>
  <c r="Q4" i="6"/>
  <c r="P4" i="6"/>
  <c r="O4" i="6"/>
  <c r="N4" i="6"/>
  <c r="K4" i="6"/>
  <c r="M4" i="6"/>
  <c r="L4" i="6"/>
  <c r="J4" i="6"/>
  <c r="I4" i="6"/>
  <c r="H4" i="6"/>
  <c r="G4" i="6"/>
  <c r="R4" i="6" s="1"/>
  <c r="Q42" i="6"/>
  <c r="P42" i="6"/>
  <c r="I42" i="6"/>
  <c r="O42" i="6"/>
  <c r="N42" i="6"/>
  <c r="M42" i="6"/>
  <c r="L42" i="6"/>
  <c r="K42" i="6"/>
  <c r="J42" i="6"/>
  <c r="H42" i="6"/>
  <c r="G42" i="6"/>
  <c r="N76" i="6"/>
  <c r="M76" i="6"/>
  <c r="K76" i="6"/>
  <c r="L76" i="6"/>
  <c r="J76" i="6"/>
  <c r="I76" i="6"/>
  <c r="H76" i="6"/>
  <c r="G76" i="6"/>
  <c r="Q76" i="6"/>
  <c r="P76" i="6"/>
  <c r="O76" i="6"/>
  <c r="N28" i="6"/>
  <c r="M28" i="6"/>
  <c r="L28" i="6"/>
  <c r="K28" i="6"/>
  <c r="J28" i="6"/>
  <c r="I28" i="6"/>
  <c r="H28" i="6"/>
  <c r="G28" i="6"/>
  <c r="Q28" i="6"/>
  <c r="P28" i="6"/>
  <c r="O28" i="6"/>
  <c r="L34" i="6"/>
  <c r="I34" i="6"/>
  <c r="K34" i="6"/>
  <c r="J34" i="6"/>
  <c r="H34" i="6"/>
  <c r="G34" i="6"/>
  <c r="Q34" i="6"/>
  <c r="P34" i="6"/>
  <c r="M34" i="6"/>
  <c r="O34" i="6"/>
  <c r="N34" i="6"/>
  <c r="L82" i="6"/>
  <c r="K82" i="6"/>
  <c r="I82" i="6"/>
  <c r="J82" i="6"/>
  <c r="H82" i="6"/>
  <c r="G82" i="6"/>
  <c r="Q82" i="6"/>
  <c r="P82" i="6"/>
  <c r="O82" i="6"/>
  <c r="N82" i="6"/>
  <c r="M82" i="6"/>
  <c r="P6" i="6"/>
  <c r="O6" i="6"/>
  <c r="N6" i="6"/>
  <c r="M6" i="6"/>
  <c r="L6" i="6"/>
  <c r="K6" i="6"/>
  <c r="J6" i="6"/>
  <c r="I6" i="6"/>
  <c r="H6" i="6"/>
  <c r="G6" i="6"/>
  <c r="Q6" i="6"/>
  <c r="Q16" i="6"/>
  <c r="P16" i="6"/>
  <c r="O16" i="6"/>
  <c r="N16" i="6"/>
  <c r="M16" i="6"/>
  <c r="G16" i="6"/>
  <c r="L16" i="6"/>
  <c r="K16" i="6"/>
  <c r="J16" i="6"/>
  <c r="I16" i="6"/>
  <c r="H16" i="6"/>
  <c r="Q23" i="6"/>
  <c r="P23" i="6"/>
  <c r="J23" i="6"/>
  <c r="O23" i="6"/>
  <c r="N23" i="6"/>
  <c r="M23" i="6"/>
  <c r="L23" i="6"/>
  <c r="K23" i="6"/>
  <c r="I23" i="6"/>
  <c r="H23" i="6"/>
  <c r="G23" i="6"/>
  <c r="H78" i="6"/>
  <c r="G78" i="6"/>
  <c r="Q78" i="6"/>
  <c r="M78" i="6"/>
  <c r="P78" i="6"/>
  <c r="O78" i="6"/>
  <c r="N78" i="6"/>
  <c r="L78" i="6"/>
  <c r="K78" i="6"/>
  <c r="I78" i="6"/>
  <c r="J78" i="6"/>
  <c r="M79" i="6"/>
  <c r="L79" i="6"/>
  <c r="K79" i="6"/>
  <c r="J79" i="6"/>
  <c r="I79" i="6"/>
  <c r="H79" i="6"/>
  <c r="G79" i="6"/>
  <c r="Q79" i="6"/>
  <c r="P79" i="6"/>
  <c r="O79" i="6"/>
  <c r="N79" i="6"/>
  <c r="J40" i="6"/>
  <c r="G40" i="6"/>
  <c r="I40" i="6"/>
  <c r="H40" i="6"/>
  <c r="O40" i="6"/>
  <c r="Q40" i="6"/>
  <c r="P40" i="6"/>
  <c r="N40" i="6"/>
  <c r="M40" i="6"/>
  <c r="L40" i="6"/>
  <c r="K40" i="6"/>
  <c r="K68" i="6"/>
  <c r="Q68" i="6"/>
  <c r="P68" i="6"/>
  <c r="O68" i="6"/>
  <c r="N68" i="6"/>
  <c r="M68" i="6"/>
  <c r="L68" i="6"/>
  <c r="J68" i="6"/>
  <c r="I68" i="6"/>
  <c r="H68" i="6"/>
  <c r="G68" i="6"/>
  <c r="O25" i="6"/>
  <c r="N25" i="6"/>
  <c r="L25" i="6"/>
  <c r="M25" i="6"/>
  <c r="K25" i="6"/>
  <c r="J25" i="6"/>
  <c r="I25" i="6"/>
  <c r="H25" i="6"/>
  <c r="G25" i="6"/>
  <c r="Q25" i="6"/>
  <c r="P25" i="6"/>
  <c r="O73" i="6"/>
  <c r="N73" i="6"/>
  <c r="M73" i="6"/>
  <c r="L73" i="6"/>
  <c r="K73" i="6"/>
  <c r="J73" i="6"/>
  <c r="I73" i="6"/>
  <c r="H73" i="6"/>
  <c r="G73" i="6"/>
  <c r="Q73" i="6"/>
  <c r="P73" i="6"/>
  <c r="Q77" i="6"/>
  <c r="P77" i="6"/>
  <c r="O77" i="6"/>
  <c r="N77" i="6"/>
  <c r="M77" i="6"/>
  <c r="H77" i="6"/>
  <c r="L77" i="6"/>
  <c r="K77" i="6"/>
  <c r="J77" i="6"/>
  <c r="I77" i="6"/>
  <c r="G77" i="6"/>
  <c r="H30" i="6"/>
  <c r="G30" i="6"/>
  <c r="M30" i="6"/>
  <c r="Q30" i="6"/>
  <c r="P30" i="6"/>
  <c r="O30" i="6"/>
  <c r="N30" i="6"/>
  <c r="L30" i="6"/>
  <c r="J30" i="6"/>
  <c r="I30" i="6"/>
  <c r="K30" i="6"/>
  <c r="Q74" i="6"/>
  <c r="P74" i="6"/>
  <c r="I74" i="6"/>
  <c r="O74" i="6"/>
  <c r="N74" i="6"/>
  <c r="M74" i="6"/>
  <c r="L74" i="6"/>
  <c r="K74" i="6"/>
  <c r="J74" i="6"/>
  <c r="H74" i="6"/>
  <c r="G74" i="6"/>
  <c r="Q52" i="6"/>
  <c r="P52" i="6"/>
  <c r="O52" i="6"/>
  <c r="N52" i="6"/>
  <c r="K52" i="6"/>
  <c r="M52" i="6"/>
  <c r="L52" i="6"/>
  <c r="J52" i="6"/>
  <c r="I52" i="6"/>
  <c r="H52" i="6"/>
  <c r="G52" i="6"/>
  <c r="H46" i="6"/>
  <c r="G46" i="6"/>
  <c r="Q46" i="6"/>
  <c r="P46" i="6"/>
  <c r="O46" i="6"/>
  <c r="N46" i="6"/>
  <c r="M46" i="6"/>
  <c r="L46" i="6"/>
  <c r="K46" i="6"/>
  <c r="J46" i="6"/>
  <c r="I46" i="6"/>
  <c r="G33" i="6"/>
  <c r="Q33" i="6"/>
  <c r="P33" i="6"/>
  <c r="O33" i="6"/>
  <c r="N33" i="6"/>
  <c r="M33" i="6"/>
  <c r="L33" i="6"/>
  <c r="K33" i="6"/>
  <c r="J33" i="6"/>
  <c r="I33" i="6"/>
  <c r="H33" i="6"/>
  <c r="N44" i="6"/>
  <c r="K44" i="6"/>
  <c r="M44" i="6"/>
  <c r="L44" i="6"/>
  <c r="J44" i="6"/>
  <c r="I44" i="6"/>
  <c r="H44" i="6"/>
  <c r="G44" i="6"/>
  <c r="Q44" i="6"/>
  <c r="P44" i="6"/>
  <c r="O44" i="6"/>
  <c r="J8" i="6"/>
  <c r="G8" i="6"/>
  <c r="I8" i="6"/>
  <c r="H8" i="6"/>
  <c r="O8" i="6"/>
  <c r="Q8" i="6"/>
  <c r="P8" i="6"/>
  <c r="N8" i="6"/>
  <c r="M8" i="6"/>
  <c r="K8" i="6"/>
  <c r="L8" i="6"/>
  <c r="N60" i="6"/>
  <c r="M60" i="6"/>
  <c r="K60" i="6"/>
  <c r="L60" i="6"/>
  <c r="J60" i="6"/>
  <c r="I60" i="6"/>
  <c r="H60" i="6"/>
  <c r="G60" i="6"/>
  <c r="Q60" i="6"/>
  <c r="P60" i="6"/>
  <c r="O60" i="6"/>
  <c r="G17" i="6"/>
  <c r="L17" i="6"/>
  <c r="Q17" i="6"/>
  <c r="P17" i="6"/>
  <c r="O17" i="6"/>
  <c r="N17" i="6"/>
  <c r="M17" i="6"/>
  <c r="K17" i="6"/>
  <c r="J17" i="6"/>
  <c r="I17" i="6"/>
  <c r="H17" i="6"/>
  <c r="J72" i="6"/>
  <c r="I72" i="6"/>
  <c r="G72" i="6"/>
  <c r="H72" i="6"/>
  <c r="Q72" i="6"/>
  <c r="P72" i="6"/>
  <c r="O72" i="6"/>
  <c r="N72" i="6"/>
  <c r="M72" i="6"/>
  <c r="L72" i="6"/>
  <c r="K72" i="6"/>
  <c r="K69" i="6"/>
  <c r="J69" i="6"/>
  <c r="I69" i="6"/>
  <c r="H69" i="6"/>
  <c r="G69" i="6"/>
  <c r="P69" i="6"/>
  <c r="Q69" i="6"/>
  <c r="O69" i="6"/>
  <c r="N69" i="6"/>
  <c r="M69" i="6"/>
  <c r="L69" i="6"/>
  <c r="P54" i="6"/>
  <c r="O54" i="6"/>
  <c r="M54" i="6"/>
  <c r="N54" i="6"/>
  <c r="L54" i="6"/>
  <c r="K54" i="6"/>
  <c r="J54" i="6"/>
  <c r="I54" i="6"/>
  <c r="H54" i="6"/>
  <c r="G54" i="6"/>
  <c r="Q54" i="6"/>
  <c r="Q7" i="6"/>
  <c r="P7" i="6"/>
  <c r="J7" i="6"/>
  <c r="O7" i="6"/>
  <c r="N7" i="6"/>
  <c r="M7" i="6"/>
  <c r="L7" i="6"/>
  <c r="K7" i="6"/>
  <c r="I7" i="6"/>
  <c r="H7" i="6"/>
  <c r="G7" i="6"/>
  <c r="H62" i="6"/>
  <c r="G62" i="6"/>
  <c r="Q62" i="6"/>
  <c r="P62" i="6"/>
  <c r="O62" i="6"/>
  <c r="N62" i="6"/>
  <c r="M62" i="6"/>
  <c r="L62" i="6"/>
  <c r="K62" i="6"/>
  <c r="J62" i="6"/>
  <c r="I62" i="6"/>
  <c r="I75" i="6"/>
  <c r="H75" i="6"/>
  <c r="G75" i="6"/>
  <c r="N75" i="6"/>
  <c r="Q75" i="6"/>
  <c r="P75" i="6"/>
  <c r="O75" i="6"/>
  <c r="M75" i="6"/>
  <c r="L75" i="6"/>
  <c r="K75" i="6"/>
  <c r="J75" i="6"/>
  <c r="Q48" i="6"/>
  <c r="O48" i="6"/>
  <c r="P48" i="6"/>
  <c r="N48" i="6"/>
  <c r="M48" i="6"/>
  <c r="L48" i="6"/>
  <c r="K48" i="6"/>
  <c r="G48" i="6"/>
  <c r="J48" i="6"/>
  <c r="I48" i="6"/>
  <c r="H48" i="6"/>
  <c r="N12" i="6"/>
  <c r="M12" i="6"/>
  <c r="L12" i="6"/>
  <c r="K12" i="6"/>
  <c r="J12" i="6"/>
  <c r="I12" i="6"/>
  <c r="H12" i="6"/>
  <c r="G12" i="6"/>
  <c r="Q12" i="6"/>
  <c r="P12" i="6"/>
  <c r="O12" i="6"/>
  <c r="Q10" i="6"/>
  <c r="P10" i="6"/>
  <c r="I10" i="6"/>
  <c r="O10" i="6"/>
  <c r="N10" i="6"/>
  <c r="M10" i="6"/>
  <c r="L10" i="6"/>
  <c r="K10" i="6"/>
  <c r="J10" i="6"/>
  <c r="H10" i="6"/>
  <c r="G10" i="6"/>
  <c r="G65" i="6"/>
  <c r="L65" i="6"/>
  <c r="Q65" i="6"/>
  <c r="P65" i="6"/>
  <c r="O65" i="6"/>
  <c r="N65" i="6"/>
  <c r="M65" i="6"/>
  <c r="K65" i="6"/>
  <c r="J65" i="6"/>
  <c r="I65" i="6"/>
  <c r="H65" i="6"/>
  <c r="P38" i="6"/>
  <c r="O38" i="6"/>
  <c r="N38" i="6"/>
  <c r="M38" i="6"/>
  <c r="L38" i="6"/>
  <c r="K38" i="6"/>
  <c r="J38" i="6"/>
  <c r="I38" i="6"/>
  <c r="H38" i="6"/>
  <c r="G38" i="6"/>
  <c r="Q38" i="6"/>
  <c r="V37" i="6" l="1"/>
  <c r="R17" i="6"/>
  <c r="AX17" i="6"/>
  <c r="R25" i="6"/>
  <c r="S25" i="6" s="1"/>
  <c r="AX25" i="6"/>
  <c r="R8" i="6"/>
  <c r="S8" i="6" s="1"/>
  <c r="AX8" i="6"/>
  <c r="R6" i="6"/>
  <c r="AX6" i="6"/>
  <c r="R58" i="6"/>
  <c r="AX58" i="6"/>
  <c r="R18" i="6"/>
  <c r="S18" i="6" s="1"/>
  <c r="AX18" i="6"/>
  <c r="R31" i="6"/>
  <c r="S31" i="6" s="1"/>
  <c r="AX31" i="6"/>
  <c r="R71" i="6"/>
  <c r="AX71" i="6"/>
  <c r="R80" i="6"/>
  <c r="AX80" i="6"/>
  <c r="R14" i="6"/>
  <c r="S14" i="6" s="1"/>
  <c r="AX14" i="6"/>
  <c r="T26" i="6"/>
  <c r="AY26" i="6"/>
  <c r="T43" i="6"/>
  <c r="AY43" i="6"/>
  <c r="T11" i="6"/>
  <c r="AY11" i="6"/>
  <c r="R46" i="6"/>
  <c r="S46" i="6" s="1"/>
  <c r="AX46" i="6"/>
  <c r="R40" i="6"/>
  <c r="S40" i="6" s="1"/>
  <c r="AX40" i="6"/>
  <c r="R23" i="6"/>
  <c r="AX23" i="6"/>
  <c r="R16" i="6"/>
  <c r="AX16" i="6"/>
  <c r="R20" i="6"/>
  <c r="S20" i="6" s="1"/>
  <c r="AX20" i="6"/>
  <c r="T61" i="6"/>
  <c r="AY61" i="6"/>
  <c r="T35" i="6"/>
  <c r="AY35" i="6"/>
  <c r="T53" i="6"/>
  <c r="AY53" i="6"/>
  <c r="R30" i="6"/>
  <c r="S30" i="6" s="1"/>
  <c r="AX30" i="6"/>
  <c r="R34" i="6"/>
  <c r="S34" i="6" s="1"/>
  <c r="AX34" i="6"/>
  <c r="R50" i="6"/>
  <c r="AX50" i="6"/>
  <c r="R67" i="6"/>
  <c r="AX67" i="6"/>
  <c r="T27" i="6"/>
  <c r="AY27" i="6"/>
  <c r="T51" i="6"/>
  <c r="AY51" i="6"/>
  <c r="T55" i="6"/>
  <c r="AY55" i="6"/>
  <c r="R28" i="6"/>
  <c r="AX28" i="6"/>
  <c r="R56" i="6"/>
  <c r="S56" i="6" s="1"/>
  <c r="AX56" i="6"/>
  <c r="R13" i="6"/>
  <c r="S13" i="6" s="1"/>
  <c r="AX13" i="6"/>
  <c r="T57" i="6"/>
  <c r="AY57" i="6"/>
  <c r="T59" i="6"/>
  <c r="AY59" i="6"/>
  <c r="W37" i="6"/>
  <c r="BB37" i="6"/>
  <c r="R69" i="6"/>
  <c r="S69" i="6" s="1"/>
  <c r="AX69" i="6"/>
  <c r="T15" i="6"/>
  <c r="AY15" i="6"/>
  <c r="T49" i="6"/>
  <c r="AY49" i="6"/>
  <c r="R54" i="6"/>
  <c r="S54" i="6" s="1"/>
  <c r="AX54" i="6"/>
  <c r="R12" i="6"/>
  <c r="S12" i="6" s="1"/>
  <c r="AX12" i="6"/>
  <c r="R7" i="6"/>
  <c r="AX7" i="6"/>
  <c r="R44" i="6"/>
  <c r="AX44" i="6"/>
  <c r="R68" i="6"/>
  <c r="S68" i="6" s="1"/>
  <c r="AX68" i="6"/>
  <c r="R36" i="6"/>
  <c r="S36" i="6" s="1"/>
  <c r="AX36" i="6"/>
  <c r="R70" i="6"/>
  <c r="AX70" i="6"/>
  <c r="T39" i="6"/>
  <c r="AY39" i="6"/>
  <c r="T21" i="6"/>
  <c r="AY21" i="6"/>
  <c r="T9" i="6"/>
  <c r="AY9" i="6"/>
  <c r="U29" i="6"/>
  <c r="R65" i="6"/>
  <c r="AX65" i="6"/>
  <c r="R10" i="6"/>
  <c r="S10" i="6" s="1"/>
  <c r="AX10" i="6"/>
  <c r="R72" i="6"/>
  <c r="S72" i="6" s="1"/>
  <c r="AX72" i="6"/>
  <c r="R74" i="6"/>
  <c r="S74" i="6" s="1"/>
  <c r="AX74" i="6"/>
  <c r="R76" i="6"/>
  <c r="AX76" i="6"/>
  <c r="R42" i="6"/>
  <c r="S42" i="6" s="1"/>
  <c r="AX42" i="6"/>
  <c r="R81" i="6"/>
  <c r="S81" i="6" s="1"/>
  <c r="AX81" i="6"/>
  <c r="R66" i="6"/>
  <c r="S66" i="6" s="1"/>
  <c r="AX66" i="6"/>
  <c r="R24" i="6"/>
  <c r="AX24" i="6"/>
  <c r="R32" i="6"/>
  <c r="S32" i="6" s="1"/>
  <c r="AX32" i="6"/>
  <c r="T5" i="6"/>
  <c r="AY5" i="6"/>
  <c r="T19" i="6"/>
  <c r="AY19" i="6"/>
  <c r="T45" i="6"/>
  <c r="AY45" i="6"/>
  <c r="R38" i="6"/>
  <c r="S38" i="6" s="1"/>
  <c r="AX38" i="6"/>
  <c r="R73" i="6"/>
  <c r="S73" i="6" s="1"/>
  <c r="AX73" i="6"/>
  <c r="R62" i="6"/>
  <c r="S62" i="6" s="1"/>
  <c r="AX62" i="6"/>
  <c r="R52" i="6"/>
  <c r="AX52" i="6"/>
  <c r="R77" i="6"/>
  <c r="S77" i="6" s="1"/>
  <c r="AX77" i="6"/>
  <c r="R48" i="6"/>
  <c r="S48" i="6" s="1"/>
  <c r="AX48" i="6"/>
  <c r="R75" i="6"/>
  <c r="S75" i="6" s="1"/>
  <c r="AX75" i="6"/>
  <c r="R60" i="6"/>
  <c r="AX60" i="6"/>
  <c r="R33" i="6"/>
  <c r="S33" i="6" s="1"/>
  <c r="AX33" i="6"/>
  <c r="R79" i="6"/>
  <c r="S79" i="6" s="1"/>
  <c r="AX79" i="6"/>
  <c r="R78" i="6"/>
  <c r="S78" i="6" s="1"/>
  <c r="AX78" i="6"/>
  <c r="R82" i="6"/>
  <c r="AX82" i="6"/>
  <c r="R83" i="6"/>
  <c r="S83" i="6" s="1"/>
  <c r="AX83" i="6"/>
  <c r="R22" i="6"/>
  <c r="S22" i="6" s="1"/>
  <c r="AX22" i="6"/>
  <c r="T63" i="6"/>
  <c r="AY63" i="6"/>
  <c r="T47" i="6"/>
  <c r="AY47" i="6"/>
  <c r="T41" i="6"/>
  <c r="AY41" i="6"/>
  <c r="AX4" i="6"/>
  <c r="U64" i="6"/>
  <c r="AZ64" i="6"/>
  <c r="S28" i="6"/>
  <c r="S17" i="6"/>
  <c r="S4" i="6"/>
  <c r="S65" i="6"/>
  <c r="S80" i="6"/>
  <c r="S67" i="6"/>
  <c r="S44" i="6"/>
  <c r="S24" i="6"/>
  <c r="S58" i="6"/>
  <c r="S6" i="6"/>
  <c r="S82" i="6"/>
  <c r="S76" i="6"/>
  <c r="S71" i="6"/>
  <c r="S70" i="6"/>
  <c r="S60" i="6"/>
  <c r="S50" i="6"/>
  <c r="S7" i="6"/>
  <c r="S52" i="6"/>
  <c r="S23" i="6"/>
  <c r="S16" i="6"/>
  <c r="T75" i="6" l="1"/>
  <c r="AY75" i="6"/>
  <c r="T69" i="6"/>
  <c r="AY69" i="6"/>
  <c r="T66" i="6"/>
  <c r="AY66" i="6"/>
  <c r="T22" i="6"/>
  <c r="AY22" i="6"/>
  <c r="T62" i="6"/>
  <c r="AY62" i="6"/>
  <c r="T72" i="6"/>
  <c r="AY72" i="6"/>
  <c r="T38" i="6"/>
  <c r="AY38" i="6"/>
  <c r="T82" i="6"/>
  <c r="AY82" i="6"/>
  <c r="T73" i="6"/>
  <c r="AY73" i="6"/>
  <c r="T83" i="6"/>
  <c r="AY83" i="6"/>
  <c r="T7" i="6"/>
  <c r="AY7" i="6"/>
  <c r="T74" i="6"/>
  <c r="AY74" i="6"/>
  <c r="T81" i="6"/>
  <c r="AY81" i="6"/>
  <c r="T33" i="6"/>
  <c r="AY33" i="6"/>
  <c r="T80" i="6"/>
  <c r="AY80" i="6"/>
  <c r="T17" i="6"/>
  <c r="AY17" i="6"/>
  <c r="T28" i="6"/>
  <c r="AY28" i="6"/>
  <c r="U47" i="6"/>
  <c r="AZ47" i="6"/>
  <c r="U45" i="6"/>
  <c r="AZ45" i="6"/>
  <c r="V29" i="6"/>
  <c r="BA29" i="6"/>
  <c r="U15" i="6"/>
  <c r="AZ15" i="6"/>
  <c r="U57" i="6"/>
  <c r="AZ57" i="6"/>
  <c r="U55" i="6"/>
  <c r="AZ55" i="6"/>
  <c r="U35" i="6"/>
  <c r="AZ35" i="6"/>
  <c r="U43" i="6"/>
  <c r="AZ43" i="6"/>
  <c r="T70" i="6"/>
  <c r="AY70" i="6"/>
  <c r="U63" i="6"/>
  <c r="AZ63" i="6"/>
  <c r="U19" i="6"/>
  <c r="AZ19" i="6"/>
  <c r="T76" i="6"/>
  <c r="AY76" i="6"/>
  <c r="V64" i="6"/>
  <c r="BA64" i="6"/>
  <c r="U9" i="6"/>
  <c r="AZ9" i="6"/>
  <c r="U51" i="6"/>
  <c r="AZ51" i="6"/>
  <c r="U61" i="6"/>
  <c r="AZ61" i="6"/>
  <c r="U26" i="6"/>
  <c r="AZ26" i="6"/>
  <c r="T68" i="6"/>
  <c r="AY68" i="6"/>
  <c r="T60" i="6"/>
  <c r="AY60" i="6"/>
  <c r="T31" i="6"/>
  <c r="AY31" i="6"/>
  <c r="T6" i="6"/>
  <c r="AY6" i="6"/>
  <c r="T25" i="6"/>
  <c r="AY25" i="6"/>
  <c r="T18" i="6"/>
  <c r="AY18" i="6"/>
  <c r="T50" i="6"/>
  <c r="AY50" i="6"/>
  <c r="T77" i="6"/>
  <c r="AY77" i="6"/>
  <c r="T58" i="6"/>
  <c r="AY58" i="6"/>
  <c r="T13" i="6"/>
  <c r="AY13" i="6"/>
  <c r="T65" i="6"/>
  <c r="AY65" i="6"/>
  <c r="U21" i="6"/>
  <c r="AZ21" i="6"/>
  <c r="X37" i="6"/>
  <c r="BC37" i="6"/>
  <c r="U27" i="6"/>
  <c r="AZ27" i="6"/>
  <c r="T14" i="6"/>
  <c r="AY14" i="6"/>
  <c r="T79" i="6"/>
  <c r="AY79" i="6"/>
  <c r="T78" i="6"/>
  <c r="AY78" i="6"/>
  <c r="T20" i="6"/>
  <c r="AY20" i="6"/>
  <c r="T30" i="6"/>
  <c r="AY30" i="6"/>
  <c r="T48" i="6"/>
  <c r="AY48" i="6"/>
  <c r="U5" i="6"/>
  <c r="AZ5" i="6"/>
  <c r="T16" i="6"/>
  <c r="AY16" i="6"/>
  <c r="T23" i="6"/>
  <c r="AY23" i="6"/>
  <c r="T34" i="6"/>
  <c r="AY34" i="6"/>
  <c r="T24" i="6"/>
  <c r="AY24" i="6"/>
  <c r="T40" i="6"/>
  <c r="AY40" i="6"/>
  <c r="U41" i="6"/>
  <c r="AZ41" i="6"/>
  <c r="T42" i="6"/>
  <c r="AY42" i="6"/>
  <c r="T67" i="6"/>
  <c r="AY67" i="6"/>
  <c r="T71" i="6"/>
  <c r="AY71" i="6"/>
  <c r="T46" i="6"/>
  <c r="AY46" i="6"/>
  <c r="T36" i="6"/>
  <c r="AY36" i="6"/>
  <c r="T12" i="6"/>
  <c r="AY12" i="6"/>
  <c r="T8" i="6"/>
  <c r="AY8" i="6"/>
  <c r="T52" i="6"/>
  <c r="AY52" i="6"/>
  <c r="T56" i="6"/>
  <c r="AY56" i="6"/>
  <c r="T32" i="6"/>
  <c r="AY32" i="6"/>
  <c r="T44" i="6"/>
  <c r="AY44" i="6"/>
  <c r="T10" i="6"/>
  <c r="AY10" i="6"/>
  <c r="T4" i="6"/>
  <c r="AY4" i="6"/>
  <c r="T54" i="6"/>
  <c r="AY54" i="6"/>
  <c r="U39" i="6"/>
  <c r="AZ39" i="6"/>
  <c r="U49" i="6"/>
  <c r="AZ49" i="6"/>
  <c r="U59" i="6"/>
  <c r="AZ59" i="6"/>
  <c r="U53" i="6"/>
  <c r="AZ53" i="6"/>
  <c r="U11" i="6"/>
  <c r="AZ11" i="6"/>
  <c r="U8" i="6" l="1"/>
  <c r="AZ8" i="6"/>
  <c r="U32" i="6"/>
  <c r="AZ32" i="6"/>
  <c r="V5" i="6"/>
  <c r="BA5" i="6"/>
  <c r="V9" i="6"/>
  <c r="BA9" i="6"/>
  <c r="U44" i="6"/>
  <c r="AZ44" i="6"/>
  <c r="U20" i="6"/>
  <c r="AZ20" i="6"/>
  <c r="V27" i="6"/>
  <c r="BA27" i="6"/>
  <c r="U13" i="6"/>
  <c r="AZ13" i="6"/>
  <c r="U18" i="6"/>
  <c r="AZ18" i="6"/>
  <c r="U60" i="6"/>
  <c r="AZ60" i="6"/>
  <c r="V51" i="6"/>
  <c r="BA51" i="6"/>
  <c r="V19" i="6"/>
  <c r="BA19" i="6"/>
  <c r="V35" i="6"/>
  <c r="BA35" i="6"/>
  <c r="W29" i="6"/>
  <c r="BB29" i="6"/>
  <c r="U17" i="6"/>
  <c r="AZ17" i="6"/>
  <c r="U74" i="6"/>
  <c r="AZ74" i="6"/>
  <c r="U82" i="6"/>
  <c r="AZ82" i="6"/>
  <c r="U22" i="6"/>
  <c r="AZ22" i="6"/>
  <c r="U78" i="6"/>
  <c r="AZ78" i="6"/>
  <c r="U68" i="6"/>
  <c r="AZ68" i="6"/>
  <c r="U80" i="6"/>
  <c r="AZ80" i="6"/>
  <c r="U7" i="6"/>
  <c r="AZ7" i="6"/>
  <c r="U38" i="6"/>
  <c r="AZ38" i="6"/>
  <c r="U66" i="6"/>
  <c r="AZ66" i="6"/>
  <c r="V11" i="6"/>
  <c r="BA11" i="6"/>
  <c r="U71" i="6"/>
  <c r="AZ71" i="6"/>
  <c r="U54" i="6"/>
  <c r="AZ54" i="6"/>
  <c r="U24" i="6"/>
  <c r="AZ24" i="6"/>
  <c r="U25" i="6"/>
  <c r="AZ25" i="6"/>
  <c r="V63" i="6"/>
  <c r="BA63" i="6"/>
  <c r="V59" i="6"/>
  <c r="BA59" i="6"/>
  <c r="U4" i="6"/>
  <c r="AZ4" i="6"/>
  <c r="U56" i="6"/>
  <c r="AZ56" i="6"/>
  <c r="U36" i="6"/>
  <c r="AZ36" i="6"/>
  <c r="U42" i="6"/>
  <c r="AZ42" i="6"/>
  <c r="U34" i="6"/>
  <c r="AZ34" i="6"/>
  <c r="U48" i="6"/>
  <c r="AZ48" i="6"/>
  <c r="U79" i="6"/>
  <c r="AZ79" i="6"/>
  <c r="V21" i="6"/>
  <c r="BA21" i="6"/>
  <c r="U77" i="6"/>
  <c r="AZ77" i="6"/>
  <c r="U6" i="6"/>
  <c r="AZ6" i="6"/>
  <c r="V26" i="6"/>
  <c r="BA26" i="6"/>
  <c r="BB64" i="6"/>
  <c r="W64" i="6"/>
  <c r="U70" i="6"/>
  <c r="AZ70" i="6"/>
  <c r="V57" i="6"/>
  <c r="BA57" i="6"/>
  <c r="V47" i="6"/>
  <c r="BA47" i="6"/>
  <c r="U33" i="6"/>
  <c r="AZ33" i="6"/>
  <c r="U83" i="6"/>
  <c r="AZ83" i="6"/>
  <c r="U72" i="6"/>
  <c r="AZ72" i="6"/>
  <c r="U69" i="6"/>
  <c r="AZ69" i="6"/>
  <c r="U40" i="6"/>
  <c r="AZ40" i="6"/>
  <c r="U12" i="6"/>
  <c r="AZ12" i="6"/>
  <c r="Y37" i="6"/>
  <c r="BD37" i="6"/>
  <c r="V45" i="6"/>
  <c r="BA45" i="6"/>
  <c r="V39" i="6"/>
  <c r="BA39" i="6"/>
  <c r="U16" i="6"/>
  <c r="AZ16" i="6"/>
  <c r="V53" i="6"/>
  <c r="BA53" i="6"/>
  <c r="U67" i="6"/>
  <c r="AZ67" i="6"/>
  <c r="U58" i="6"/>
  <c r="AZ58" i="6"/>
  <c r="V55" i="6"/>
  <c r="BA55" i="6"/>
  <c r="V49" i="6"/>
  <c r="BA49" i="6"/>
  <c r="U10" i="6"/>
  <c r="AZ10" i="6"/>
  <c r="U52" i="6"/>
  <c r="AZ52" i="6"/>
  <c r="U46" i="6"/>
  <c r="AZ46" i="6"/>
  <c r="V41" i="6"/>
  <c r="BA41" i="6"/>
  <c r="U23" i="6"/>
  <c r="AZ23" i="6"/>
  <c r="U30" i="6"/>
  <c r="AZ30" i="6"/>
  <c r="U14" i="6"/>
  <c r="AZ14" i="6"/>
  <c r="U65" i="6"/>
  <c r="AZ65" i="6"/>
  <c r="U50" i="6"/>
  <c r="AZ50" i="6"/>
  <c r="U31" i="6"/>
  <c r="AZ31" i="6"/>
  <c r="V61" i="6"/>
  <c r="BA61" i="6"/>
  <c r="U76" i="6"/>
  <c r="AZ76" i="6"/>
  <c r="V43" i="6"/>
  <c r="BA43" i="6"/>
  <c r="V15" i="6"/>
  <c r="BA15" i="6"/>
  <c r="U28" i="6"/>
  <c r="AZ28" i="6"/>
  <c r="U81" i="6"/>
  <c r="AZ81" i="6"/>
  <c r="U73" i="6"/>
  <c r="AZ73" i="6"/>
  <c r="U62" i="6"/>
  <c r="AZ62" i="6"/>
  <c r="U75" i="6"/>
  <c r="AZ75" i="6"/>
  <c r="W55" i="6" l="1"/>
  <c r="BB55" i="6"/>
  <c r="W15" i="6"/>
  <c r="BB15" i="6"/>
  <c r="W39" i="6"/>
  <c r="BB39" i="6"/>
  <c r="W21" i="6"/>
  <c r="BB21" i="6"/>
  <c r="V78" i="6"/>
  <c r="BA78" i="6"/>
  <c r="W61" i="6"/>
  <c r="BB61" i="6"/>
  <c r="V12" i="6"/>
  <c r="BA12" i="6"/>
  <c r="V70" i="6"/>
  <c r="BA70" i="6"/>
  <c r="V77" i="6"/>
  <c r="BA77" i="6"/>
  <c r="V34" i="6"/>
  <c r="BA34" i="6"/>
  <c r="V4" i="6"/>
  <c r="BA4" i="6"/>
  <c r="V24" i="6"/>
  <c r="BA24" i="6"/>
  <c r="V66" i="6"/>
  <c r="BA66" i="6"/>
  <c r="V68" i="6"/>
  <c r="BA68" i="6"/>
  <c r="V74" i="6"/>
  <c r="BA74" i="6"/>
  <c r="W19" i="6"/>
  <c r="BB19" i="6"/>
  <c r="V13" i="6"/>
  <c r="BA13" i="6"/>
  <c r="W9" i="6"/>
  <c r="BB9" i="6"/>
  <c r="X64" i="6"/>
  <c r="BC64" i="6"/>
  <c r="V52" i="6"/>
  <c r="BA52" i="6"/>
  <c r="W59" i="6"/>
  <c r="BB59" i="6"/>
  <c r="W51" i="6"/>
  <c r="BB51" i="6"/>
  <c r="W5" i="6"/>
  <c r="BB5" i="6"/>
  <c r="V75" i="6"/>
  <c r="BA75" i="6"/>
  <c r="V46" i="6"/>
  <c r="BA46" i="6"/>
  <c r="V83" i="6"/>
  <c r="BA83" i="6"/>
  <c r="V30" i="6"/>
  <c r="BA30" i="6"/>
  <c r="V40" i="6"/>
  <c r="BA40" i="6"/>
  <c r="V42" i="6"/>
  <c r="BA42" i="6"/>
  <c r="V17" i="6"/>
  <c r="BA17" i="6"/>
  <c r="V73" i="6"/>
  <c r="BA73" i="6"/>
  <c r="W43" i="6"/>
  <c r="BB43" i="6"/>
  <c r="V50" i="6"/>
  <c r="BA50" i="6"/>
  <c r="V23" i="6"/>
  <c r="BA23" i="6"/>
  <c r="V10" i="6"/>
  <c r="BA10" i="6"/>
  <c r="V67" i="6"/>
  <c r="BA67" i="6"/>
  <c r="W45" i="6"/>
  <c r="BB45" i="6"/>
  <c r="V69" i="6"/>
  <c r="BA69" i="6"/>
  <c r="W47" i="6"/>
  <c r="BB47" i="6"/>
  <c r="W26" i="6"/>
  <c r="BB26" i="6"/>
  <c r="V79" i="6"/>
  <c r="BA79" i="6"/>
  <c r="V36" i="6"/>
  <c r="BA36" i="6"/>
  <c r="W63" i="6"/>
  <c r="BB63" i="6"/>
  <c r="V71" i="6"/>
  <c r="BA71" i="6"/>
  <c r="V7" i="6"/>
  <c r="BA7" i="6"/>
  <c r="V22" i="6"/>
  <c r="BA22" i="6"/>
  <c r="X29" i="6"/>
  <c r="BC29" i="6"/>
  <c r="V60" i="6"/>
  <c r="BA60" i="6"/>
  <c r="V20" i="6"/>
  <c r="BA20" i="6"/>
  <c r="V32" i="6"/>
  <c r="BA32" i="6"/>
  <c r="V14" i="6"/>
  <c r="BA14" i="6"/>
  <c r="V31" i="6"/>
  <c r="BA31" i="6"/>
  <c r="V33" i="6"/>
  <c r="BA33" i="6"/>
  <c r="V38" i="6"/>
  <c r="BA38" i="6"/>
  <c r="V28" i="6"/>
  <c r="BA28" i="6"/>
  <c r="V16" i="6"/>
  <c r="BA16" i="6"/>
  <c r="V62" i="6"/>
  <c r="BA62" i="6"/>
  <c r="V58" i="6"/>
  <c r="BA58" i="6"/>
  <c r="V54" i="6"/>
  <c r="BA54" i="6"/>
  <c r="W27" i="6"/>
  <c r="BB27" i="6"/>
  <c r="V81" i="6"/>
  <c r="BA81" i="6"/>
  <c r="V76" i="6"/>
  <c r="BA76" i="6"/>
  <c r="V65" i="6"/>
  <c r="BA65" i="6"/>
  <c r="W41" i="6"/>
  <c r="BB41" i="6"/>
  <c r="W49" i="6"/>
  <c r="BB49" i="6"/>
  <c r="W53" i="6"/>
  <c r="BB53" i="6"/>
  <c r="Z37" i="6"/>
  <c r="BE37" i="6"/>
  <c r="V72" i="6"/>
  <c r="BA72" i="6"/>
  <c r="W57" i="6"/>
  <c r="BB57" i="6"/>
  <c r="V6" i="6"/>
  <c r="BA6" i="6"/>
  <c r="V48" i="6"/>
  <c r="BA48" i="6"/>
  <c r="V56" i="6"/>
  <c r="BA56" i="6"/>
  <c r="V25" i="6"/>
  <c r="BA25" i="6"/>
  <c r="W11" i="6"/>
  <c r="BB11" i="6"/>
  <c r="V80" i="6"/>
  <c r="BA80" i="6"/>
  <c r="V82" i="6"/>
  <c r="BA82" i="6"/>
  <c r="W35" i="6"/>
  <c r="BB35" i="6"/>
  <c r="V18" i="6"/>
  <c r="BA18" i="6"/>
  <c r="V44" i="6"/>
  <c r="BA44" i="6"/>
  <c r="V8" i="6"/>
  <c r="BA8" i="6"/>
  <c r="W8" i="6" l="1"/>
  <c r="BB8" i="6"/>
  <c r="W72" i="6"/>
  <c r="BB72" i="6"/>
  <c r="W60" i="6"/>
  <c r="BB60" i="6"/>
  <c r="W75" i="6"/>
  <c r="BB75" i="6"/>
  <c r="AA37" i="6"/>
  <c r="BF37" i="6"/>
  <c r="Y29" i="6"/>
  <c r="BD29" i="6"/>
  <c r="X5" i="6"/>
  <c r="BC5" i="6"/>
  <c r="X41" i="6"/>
  <c r="BC41" i="6"/>
  <c r="W67" i="6"/>
  <c r="BB67" i="6"/>
  <c r="X19" i="6"/>
  <c r="BC19" i="6"/>
  <c r="W24" i="6"/>
  <c r="BB24" i="6"/>
  <c r="W70" i="6"/>
  <c r="BB70" i="6"/>
  <c r="X21" i="6"/>
  <c r="BC21" i="6"/>
  <c r="W56" i="6"/>
  <c r="BB56" i="6"/>
  <c r="W31" i="6"/>
  <c r="BB31" i="6"/>
  <c r="W52" i="6"/>
  <c r="BB52" i="6"/>
  <c r="W48" i="6"/>
  <c r="BB48" i="6"/>
  <c r="W28" i="6"/>
  <c r="BB28" i="6"/>
  <c r="X47" i="6"/>
  <c r="BC47" i="6"/>
  <c r="W30" i="6"/>
  <c r="BB30" i="6"/>
  <c r="W74" i="6"/>
  <c r="BB74" i="6"/>
  <c r="X39" i="6"/>
  <c r="BC39" i="6"/>
  <c r="X11" i="6"/>
  <c r="BC11" i="6"/>
  <c r="W6" i="6"/>
  <c r="BB6" i="6"/>
  <c r="X53" i="6"/>
  <c r="BC53" i="6"/>
  <c r="W76" i="6"/>
  <c r="BB76" i="6"/>
  <c r="W58" i="6"/>
  <c r="BB58" i="6"/>
  <c r="W38" i="6"/>
  <c r="BB38" i="6"/>
  <c r="W32" i="6"/>
  <c r="BB32" i="6"/>
  <c r="W22" i="6"/>
  <c r="BB22" i="6"/>
  <c r="W36" i="6"/>
  <c r="BB36" i="6"/>
  <c r="W69" i="6"/>
  <c r="BB69" i="6"/>
  <c r="W23" i="6"/>
  <c r="BB23" i="6"/>
  <c r="W17" i="6"/>
  <c r="BB17" i="6"/>
  <c r="W83" i="6"/>
  <c r="BB83" i="6"/>
  <c r="X51" i="6"/>
  <c r="BC51" i="6"/>
  <c r="X9" i="6"/>
  <c r="BC9" i="6"/>
  <c r="W68" i="6"/>
  <c r="BB68" i="6"/>
  <c r="W34" i="6"/>
  <c r="BB34" i="6"/>
  <c r="X61" i="6"/>
  <c r="BC61" i="6"/>
  <c r="X15" i="6"/>
  <c r="BC15" i="6"/>
  <c r="W82" i="6"/>
  <c r="BB82" i="6"/>
  <c r="W16" i="6"/>
  <c r="BB16" i="6"/>
  <c r="X26" i="6"/>
  <c r="BC26" i="6"/>
  <c r="X43" i="6"/>
  <c r="BC43" i="6"/>
  <c r="W80" i="6"/>
  <c r="BB80" i="6"/>
  <c r="W54" i="6"/>
  <c r="BB54" i="6"/>
  <c r="X63" i="6"/>
  <c r="BC63" i="6"/>
  <c r="W73" i="6"/>
  <c r="BB73" i="6"/>
  <c r="Y64" i="6"/>
  <c r="BD64" i="6"/>
  <c r="W12" i="6"/>
  <c r="BB12" i="6"/>
  <c r="X27" i="6"/>
  <c r="BC27" i="6"/>
  <c r="W71" i="6"/>
  <c r="BB71" i="6"/>
  <c r="W40" i="6"/>
  <c r="BB40" i="6"/>
  <c r="W44" i="6"/>
  <c r="BB44" i="6"/>
  <c r="W65" i="6"/>
  <c r="BB65" i="6"/>
  <c r="W14" i="6"/>
  <c r="BB14" i="6"/>
  <c r="W10" i="6"/>
  <c r="BB10" i="6"/>
  <c r="W4" i="6"/>
  <c r="BB4" i="6"/>
  <c r="W18" i="6"/>
  <c r="BB18" i="6"/>
  <c r="X35" i="6"/>
  <c r="BC35" i="6"/>
  <c r="W25" i="6"/>
  <c r="BB25" i="6"/>
  <c r="X57" i="6"/>
  <c r="BC57" i="6"/>
  <c r="X49" i="6"/>
  <c r="BC49" i="6"/>
  <c r="W81" i="6"/>
  <c r="BB81" i="6"/>
  <c r="W62" i="6"/>
  <c r="BB62" i="6"/>
  <c r="W33" i="6"/>
  <c r="BB33" i="6"/>
  <c r="W20" i="6"/>
  <c r="BB20" i="6"/>
  <c r="W7" i="6"/>
  <c r="BB7" i="6"/>
  <c r="W79" i="6"/>
  <c r="BB79" i="6"/>
  <c r="X45" i="6"/>
  <c r="BC45" i="6"/>
  <c r="W50" i="6"/>
  <c r="BB50" i="6"/>
  <c r="W42" i="6"/>
  <c r="BB42" i="6"/>
  <c r="W46" i="6"/>
  <c r="BB46" i="6"/>
  <c r="X59" i="6"/>
  <c r="BC59" i="6"/>
  <c r="W13" i="6"/>
  <c r="BB13" i="6"/>
  <c r="W66" i="6"/>
  <c r="BB66" i="6"/>
  <c r="W77" i="6"/>
  <c r="BB77" i="6"/>
  <c r="W78" i="6"/>
  <c r="BB78" i="6"/>
  <c r="X55" i="6"/>
  <c r="BC55" i="6"/>
  <c r="X50" i="6" l="1"/>
  <c r="BC50" i="6"/>
  <c r="Y63" i="6"/>
  <c r="BD63" i="6"/>
  <c r="X69" i="6"/>
  <c r="BC69" i="6"/>
  <c r="X75" i="6"/>
  <c r="BC75" i="6"/>
  <c r="X78" i="6"/>
  <c r="BC78" i="6"/>
  <c r="X18" i="6"/>
  <c r="BC18" i="6"/>
  <c r="X52" i="6"/>
  <c r="BC52" i="6"/>
  <c r="X12" i="6"/>
  <c r="BC12" i="6"/>
  <c r="X58" i="6"/>
  <c r="BC58" i="6"/>
  <c r="Y47" i="6"/>
  <c r="BD47" i="6"/>
  <c r="X31" i="6"/>
  <c r="BC31" i="6"/>
  <c r="X24" i="6"/>
  <c r="BC24" i="6"/>
  <c r="Y5" i="6"/>
  <c r="BD5" i="6"/>
  <c r="X60" i="6"/>
  <c r="BC60" i="6"/>
  <c r="Y49" i="6"/>
  <c r="BD49" i="6"/>
  <c r="X70" i="6"/>
  <c r="BC70" i="6"/>
  <c r="Y55" i="6"/>
  <c r="BD55" i="6"/>
  <c r="X65" i="6"/>
  <c r="BC65" i="6"/>
  <c r="Y61" i="6"/>
  <c r="BD61" i="6"/>
  <c r="X6" i="6"/>
  <c r="BC6" i="6"/>
  <c r="X33" i="6"/>
  <c r="BC33" i="6"/>
  <c r="X44" i="6"/>
  <c r="BC44" i="6"/>
  <c r="X34" i="6"/>
  <c r="BC34" i="6"/>
  <c r="Y11" i="6"/>
  <c r="BD11" i="6"/>
  <c r="X46" i="6"/>
  <c r="BC46" i="6"/>
  <c r="X79" i="6"/>
  <c r="BC79" i="6"/>
  <c r="X62" i="6"/>
  <c r="BC62" i="6"/>
  <c r="X25" i="6"/>
  <c r="BC25" i="6"/>
  <c r="X10" i="6"/>
  <c r="BC10" i="6"/>
  <c r="X40" i="6"/>
  <c r="BC40" i="6"/>
  <c r="Z64" i="6"/>
  <c r="BE64" i="6"/>
  <c r="X80" i="6"/>
  <c r="BC80" i="6"/>
  <c r="X82" i="6"/>
  <c r="BC82" i="6"/>
  <c r="X68" i="6"/>
  <c r="BC68" i="6"/>
  <c r="X17" i="6"/>
  <c r="BC17" i="6"/>
  <c r="X22" i="6"/>
  <c r="BC22" i="6"/>
  <c r="X76" i="6"/>
  <c r="BC76" i="6"/>
  <c r="Y39" i="6"/>
  <c r="BD39" i="6"/>
  <c r="X28" i="6"/>
  <c r="BC28" i="6"/>
  <c r="X56" i="6"/>
  <c r="BC56" i="6"/>
  <c r="Y19" i="6"/>
  <c r="BD19" i="6"/>
  <c r="Z29" i="6"/>
  <c r="BE29" i="6"/>
  <c r="X72" i="6"/>
  <c r="BC72" i="6"/>
  <c r="X20" i="6"/>
  <c r="BC20" i="6"/>
  <c r="Y26" i="6"/>
  <c r="BD26" i="6"/>
  <c r="X38" i="6"/>
  <c r="BC38" i="6"/>
  <c r="Y41" i="6"/>
  <c r="BD41" i="6"/>
  <c r="Y45" i="6"/>
  <c r="BD45" i="6"/>
  <c r="Y57" i="6"/>
  <c r="BD57" i="6"/>
  <c r="X54" i="6"/>
  <c r="BC54" i="6"/>
  <c r="X83" i="6"/>
  <c r="BC83" i="6"/>
  <c r="X13" i="6"/>
  <c r="BC13" i="6"/>
  <c r="Y27" i="6"/>
  <c r="BD27" i="6"/>
  <c r="Y51" i="6"/>
  <c r="BD51" i="6"/>
  <c r="X30" i="6"/>
  <c r="BC30" i="6"/>
  <c r="Y59" i="6"/>
  <c r="BD59" i="6"/>
  <c r="X4" i="6"/>
  <c r="BC4" i="6"/>
  <c r="X16" i="6"/>
  <c r="BC16" i="6"/>
  <c r="X36" i="6"/>
  <c r="BC36" i="6"/>
  <c r="X77" i="6"/>
  <c r="BC77" i="6"/>
  <c r="X66" i="6"/>
  <c r="BC66" i="6"/>
  <c r="X42" i="6"/>
  <c r="BC42" i="6"/>
  <c r="X7" i="6"/>
  <c r="BC7" i="6"/>
  <c r="X81" i="6"/>
  <c r="BC81" i="6"/>
  <c r="Y35" i="6"/>
  <c r="BD35" i="6"/>
  <c r="X14" i="6"/>
  <c r="BC14" i="6"/>
  <c r="X71" i="6"/>
  <c r="BC71" i="6"/>
  <c r="X73" i="6"/>
  <c r="BC73" i="6"/>
  <c r="Y43" i="6"/>
  <c r="BD43" i="6"/>
  <c r="Y15" i="6"/>
  <c r="BD15" i="6"/>
  <c r="Y9" i="6"/>
  <c r="BD9" i="6"/>
  <c r="X23" i="6"/>
  <c r="BC23" i="6"/>
  <c r="X32" i="6"/>
  <c r="BC32" i="6"/>
  <c r="Y53" i="6"/>
  <c r="BD53" i="6"/>
  <c r="X74" i="6"/>
  <c r="BC74" i="6"/>
  <c r="X48" i="6"/>
  <c r="BC48" i="6"/>
  <c r="Y21" i="6"/>
  <c r="BD21" i="6"/>
  <c r="X67" i="6"/>
  <c r="BC67" i="6"/>
  <c r="AB37" i="6"/>
  <c r="BG37" i="6"/>
  <c r="X8" i="6"/>
  <c r="BC8" i="6"/>
  <c r="Y48" i="6" l="1"/>
  <c r="BD48" i="6"/>
  <c r="Z59" i="6"/>
  <c r="BE59" i="6"/>
  <c r="Y56" i="6"/>
  <c r="BD56" i="6"/>
  <c r="Z11" i="6"/>
  <c r="BE11" i="6"/>
  <c r="Y12" i="6"/>
  <c r="BD12" i="6"/>
  <c r="Y71" i="6"/>
  <c r="BD71" i="6"/>
  <c r="Y28" i="6"/>
  <c r="BD28" i="6"/>
  <c r="Y31" i="6"/>
  <c r="BD31" i="6"/>
  <c r="Y8" i="6"/>
  <c r="BD8" i="6"/>
  <c r="Y81" i="6"/>
  <c r="BD81" i="6"/>
  <c r="Y13" i="6"/>
  <c r="BD13" i="6"/>
  <c r="Y22" i="6"/>
  <c r="BD22" i="6"/>
  <c r="Y25" i="6"/>
  <c r="BD25" i="6"/>
  <c r="Y75" i="6"/>
  <c r="BD75" i="6"/>
  <c r="Y74" i="6"/>
  <c r="BD74" i="6"/>
  <c r="Y36" i="6"/>
  <c r="BD36" i="6"/>
  <c r="Z41" i="6"/>
  <c r="BE41" i="6"/>
  <c r="AA64" i="6"/>
  <c r="BF64" i="6"/>
  <c r="Z61" i="6"/>
  <c r="BE61" i="6"/>
  <c r="Y69" i="6"/>
  <c r="BD69" i="6"/>
  <c r="Z53" i="6"/>
  <c r="BE53" i="6"/>
  <c r="Z15" i="6"/>
  <c r="BE15" i="6"/>
  <c r="Y14" i="6"/>
  <c r="BD14" i="6"/>
  <c r="Y42" i="6"/>
  <c r="BD42" i="6"/>
  <c r="Y16" i="6"/>
  <c r="BD16" i="6"/>
  <c r="Z51" i="6"/>
  <c r="BE51" i="6"/>
  <c r="Y54" i="6"/>
  <c r="BD54" i="6"/>
  <c r="Y38" i="6"/>
  <c r="BD38" i="6"/>
  <c r="AA29" i="6"/>
  <c r="BF29" i="6"/>
  <c r="Z39" i="6"/>
  <c r="BE39" i="6"/>
  <c r="Y68" i="6"/>
  <c r="BD68" i="6"/>
  <c r="Y40" i="6"/>
  <c r="BD40" i="6"/>
  <c r="Y79" i="6"/>
  <c r="BD79" i="6"/>
  <c r="Y44" i="6"/>
  <c r="BD44" i="6"/>
  <c r="Y65" i="6"/>
  <c r="BD65" i="6"/>
  <c r="Y60" i="6"/>
  <c r="BD60" i="6"/>
  <c r="Z47" i="6"/>
  <c r="BE47" i="6"/>
  <c r="Y18" i="6"/>
  <c r="BD18" i="6"/>
  <c r="Z63" i="6"/>
  <c r="BE63" i="6"/>
  <c r="Y23" i="6"/>
  <c r="BD23" i="6"/>
  <c r="Y77" i="6"/>
  <c r="BD77" i="6"/>
  <c r="Y20" i="6"/>
  <c r="BD20" i="6"/>
  <c r="Y80" i="6"/>
  <c r="BD80" i="6"/>
  <c r="Y70" i="6"/>
  <c r="BD70" i="6"/>
  <c r="AD37" i="6"/>
  <c r="AG37" i="6" s="1"/>
  <c r="BH37" i="6"/>
  <c r="Y7" i="6"/>
  <c r="BD7" i="6"/>
  <c r="Y83" i="6"/>
  <c r="BD83" i="6"/>
  <c r="Y17" i="6"/>
  <c r="BD17" i="6"/>
  <c r="Y34" i="6"/>
  <c r="BD34" i="6"/>
  <c r="Y52" i="6"/>
  <c r="BD52" i="6"/>
  <c r="Y73" i="6"/>
  <c r="BD73" i="6"/>
  <c r="Z45" i="6"/>
  <c r="BE45" i="6"/>
  <c r="Y6" i="6"/>
  <c r="BD6" i="6"/>
  <c r="Y24" i="6"/>
  <c r="BD24" i="6"/>
  <c r="Z9" i="6"/>
  <c r="BE9" i="6"/>
  <c r="Y30" i="6"/>
  <c r="BD30" i="6"/>
  <c r="Y72" i="6"/>
  <c r="BD72" i="6"/>
  <c r="Y62" i="6"/>
  <c r="BD62" i="6"/>
  <c r="Z49" i="6"/>
  <c r="BE49" i="6"/>
  <c r="Y67" i="6"/>
  <c r="BD67" i="6"/>
  <c r="Z21" i="6"/>
  <c r="BE21" i="6"/>
  <c r="Y32" i="6"/>
  <c r="BD32" i="6"/>
  <c r="Z43" i="6"/>
  <c r="BE43" i="6"/>
  <c r="Z35" i="6"/>
  <c r="BE35" i="6"/>
  <c r="Y66" i="6"/>
  <c r="BD66" i="6"/>
  <c r="Y4" i="6"/>
  <c r="BD4" i="6"/>
  <c r="Z27" i="6"/>
  <c r="BE27" i="6"/>
  <c r="Z57" i="6"/>
  <c r="BE57" i="6"/>
  <c r="Z26" i="6"/>
  <c r="BE26" i="6"/>
  <c r="Z19" i="6"/>
  <c r="BE19" i="6"/>
  <c r="Y76" i="6"/>
  <c r="BD76" i="6"/>
  <c r="Y82" i="6"/>
  <c r="BD82" i="6"/>
  <c r="Y10" i="6"/>
  <c r="BD10" i="6"/>
  <c r="Y46" i="6"/>
  <c r="BD46" i="6"/>
  <c r="Y33" i="6"/>
  <c r="BD33" i="6"/>
  <c r="Z55" i="6"/>
  <c r="BE55" i="6"/>
  <c r="Z5" i="6"/>
  <c r="BE5" i="6"/>
  <c r="Y58" i="6"/>
  <c r="BD58" i="6"/>
  <c r="Y78" i="6"/>
  <c r="BD78" i="6"/>
  <c r="Y50" i="6"/>
  <c r="BD50" i="6"/>
  <c r="AA57" i="6" l="1"/>
  <c r="BF57" i="6"/>
  <c r="AA45" i="6"/>
  <c r="BF45" i="6"/>
  <c r="Z38" i="6"/>
  <c r="BE38" i="6"/>
  <c r="Z22" i="6"/>
  <c r="BE22" i="6"/>
  <c r="AA27" i="6"/>
  <c r="BF27" i="6"/>
  <c r="Z73" i="6"/>
  <c r="BE73" i="6"/>
  <c r="AA63" i="6"/>
  <c r="BF63" i="6"/>
  <c r="Z14" i="6"/>
  <c r="BE14" i="6"/>
  <c r="Z56" i="6"/>
  <c r="BE56" i="6"/>
  <c r="Z82" i="6"/>
  <c r="BE82" i="6"/>
  <c r="Z67" i="6"/>
  <c r="BE67" i="6"/>
  <c r="Z70" i="6"/>
  <c r="BE70" i="6"/>
  <c r="Z40" i="6"/>
  <c r="BE40" i="6"/>
  <c r="Z36" i="6"/>
  <c r="BE36" i="6"/>
  <c r="Z78" i="6"/>
  <c r="BE78" i="6"/>
  <c r="AA43" i="6"/>
  <c r="BF43" i="6"/>
  <c r="Z83" i="6"/>
  <c r="BE83" i="6"/>
  <c r="Z68" i="6"/>
  <c r="BE68" i="6"/>
  <c r="AA61" i="6"/>
  <c r="BF61" i="6"/>
  <c r="Z13" i="6"/>
  <c r="BE13" i="6"/>
  <c r="Z46" i="6"/>
  <c r="BE46" i="6"/>
  <c r="Z4" i="6"/>
  <c r="BE4" i="6"/>
  <c r="Z32" i="6"/>
  <c r="BE32" i="6"/>
  <c r="Z62" i="6"/>
  <c r="BE62" i="6"/>
  <c r="Z24" i="6"/>
  <c r="BE24" i="6"/>
  <c r="Z52" i="6"/>
  <c r="BE52" i="6"/>
  <c r="Z7" i="6"/>
  <c r="BE7" i="6"/>
  <c r="Z20" i="6"/>
  <c r="BE20" i="6"/>
  <c r="Z18" i="6"/>
  <c r="BE18" i="6"/>
  <c r="Z44" i="6"/>
  <c r="BE44" i="6"/>
  <c r="AA39" i="6"/>
  <c r="BF39" i="6"/>
  <c r="AA51" i="6"/>
  <c r="BF51" i="6"/>
  <c r="AA15" i="6"/>
  <c r="BF15" i="6"/>
  <c r="AB64" i="6"/>
  <c r="BG64" i="6"/>
  <c r="Z75" i="6"/>
  <c r="BE75" i="6"/>
  <c r="Z81" i="6"/>
  <c r="BE81" i="6"/>
  <c r="Z71" i="6"/>
  <c r="BE71" i="6"/>
  <c r="AA59" i="6"/>
  <c r="BF59" i="6"/>
  <c r="Z50" i="6"/>
  <c r="BE50" i="6"/>
  <c r="Z30" i="6"/>
  <c r="BE30" i="6"/>
  <c r="Z23" i="6"/>
  <c r="BE23" i="6"/>
  <c r="Z42" i="6"/>
  <c r="BE42" i="6"/>
  <c r="Z31" i="6"/>
  <c r="BE31" i="6"/>
  <c r="Z76" i="6"/>
  <c r="BE76" i="6"/>
  <c r="AA9" i="6"/>
  <c r="BF9" i="6"/>
  <c r="Z80" i="6"/>
  <c r="BE80" i="6"/>
  <c r="Z54" i="6"/>
  <c r="BE54" i="6"/>
  <c r="Z74" i="6"/>
  <c r="BE74" i="6"/>
  <c r="Z58" i="6"/>
  <c r="BE58" i="6"/>
  <c r="AA55" i="6"/>
  <c r="BF55" i="6"/>
  <c r="AA35" i="6"/>
  <c r="BF35" i="6"/>
  <c r="Z17" i="6"/>
  <c r="BE17" i="6"/>
  <c r="Z60" i="6"/>
  <c r="BE60" i="6"/>
  <c r="Z69" i="6"/>
  <c r="BE69" i="6"/>
  <c r="AA11" i="6"/>
  <c r="BF11" i="6"/>
  <c r="Z33" i="6"/>
  <c r="BE33" i="6"/>
  <c r="AA49" i="6"/>
  <c r="BF49" i="6"/>
  <c r="Z65" i="6"/>
  <c r="BE65" i="6"/>
  <c r="Z28" i="6"/>
  <c r="BE28" i="6"/>
  <c r="AA19" i="6"/>
  <c r="BF19" i="6"/>
  <c r="AA5" i="6"/>
  <c r="BF5" i="6"/>
  <c r="Z10" i="6"/>
  <c r="BE10" i="6"/>
  <c r="AA26" i="6"/>
  <c r="BF26" i="6"/>
  <c r="Z66" i="6"/>
  <c r="BE66" i="6"/>
  <c r="AA21" i="6"/>
  <c r="BF21" i="6"/>
  <c r="Z72" i="6"/>
  <c r="BE72" i="6"/>
  <c r="Z6" i="6"/>
  <c r="BE6" i="6"/>
  <c r="Z34" i="6"/>
  <c r="BE34" i="6"/>
  <c r="AJ37" i="6"/>
  <c r="AK37" i="6" s="1"/>
  <c r="AR37" i="6"/>
  <c r="AS37" i="6" s="1"/>
  <c r="AM37" i="6"/>
  <c r="AN37" i="6" s="1"/>
  <c r="Z77" i="6"/>
  <c r="BE77" i="6"/>
  <c r="AA47" i="6"/>
  <c r="BF47" i="6"/>
  <c r="Z79" i="6"/>
  <c r="BE79" i="6"/>
  <c r="AB29" i="6"/>
  <c r="BG29" i="6"/>
  <c r="Z16" i="6"/>
  <c r="BE16" i="6"/>
  <c r="AA53" i="6"/>
  <c r="BF53" i="6"/>
  <c r="AA41" i="6"/>
  <c r="BF41" i="6"/>
  <c r="Z25" i="6"/>
  <c r="BE25" i="6"/>
  <c r="Z8" i="6"/>
  <c r="BE8" i="6"/>
  <c r="Z12" i="6"/>
  <c r="BE12" i="6"/>
  <c r="Z48" i="6"/>
  <c r="BE48" i="6"/>
  <c r="AA66" i="6" l="1"/>
  <c r="BF66" i="6"/>
  <c r="AA74" i="6"/>
  <c r="BF74" i="6"/>
  <c r="AB51" i="6"/>
  <c r="BG51" i="6"/>
  <c r="AA70" i="6"/>
  <c r="BF70" i="6"/>
  <c r="AB53" i="6"/>
  <c r="BG53" i="6"/>
  <c r="AB35" i="6"/>
  <c r="BG35" i="6"/>
  <c r="AA75" i="6"/>
  <c r="BF75" i="6"/>
  <c r="AB61" i="6"/>
  <c r="BG61" i="6"/>
  <c r="AA38" i="6"/>
  <c r="BF38" i="6"/>
  <c r="AA48" i="6"/>
  <c r="BF48" i="6"/>
  <c r="AB41" i="6"/>
  <c r="BG41" i="6"/>
  <c r="AA79" i="6"/>
  <c r="BF79" i="6"/>
  <c r="AA33" i="6"/>
  <c r="BF33" i="6"/>
  <c r="AA76" i="6"/>
  <c r="BF76" i="6"/>
  <c r="AA20" i="6"/>
  <c r="BF20" i="6"/>
  <c r="AB43" i="6"/>
  <c r="BG43" i="6"/>
  <c r="AA12" i="6"/>
  <c r="BF12" i="6"/>
  <c r="AB26" i="6"/>
  <c r="BG26" i="6"/>
  <c r="AA54" i="6"/>
  <c r="BF54" i="6"/>
  <c r="AA7" i="6"/>
  <c r="BF7" i="6"/>
  <c r="AA67" i="6"/>
  <c r="BF67" i="6"/>
  <c r="AA77" i="6"/>
  <c r="BF77" i="6"/>
  <c r="AA72" i="6"/>
  <c r="BF72" i="6"/>
  <c r="AA10" i="6"/>
  <c r="BF10" i="6"/>
  <c r="AA65" i="6"/>
  <c r="BF65" i="6"/>
  <c r="AA69" i="6"/>
  <c r="BF69" i="6"/>
  <c r="AB55" i="6"/>
  <c r="BG55" i="6"/>
  <c r="AA80" i="6"/>
  <c r="BF80" i="6"/>
  <c r="AA42" i="6"/>
  <c r="BF42" i="6"/>
  <c r="AB59" i="6"/>
  <c r="BG59" i="6"/>
  <c r="AD64" i="6"/>
  <c r="AG64" i="6" s="1"/>
  <c r="BH64" i="6"/>
  <c r="AA44" i="6"/>
  <c r="BF44" i="6"/>
  <c r="AA52" i="6"/>
  <c r="BF52" i="6"/>
  <c r="AA4" i="6"/>
  <c r="BF4" i="6"/>
  <c r="AA68" i="6"/>
  <c r="BF68" i="6"/>
  <c r="AA36" i="6"/>
  <c r="BF36" i="6"/>
  <c r="AA82" i="6"/>
  <c r="BF82" i="6"/>
  <c r="AA73" i="6"/>
  <c r="BF73" i="6"/>
  <c r="AB45" i="6"/>
  <c r="BG45" i="6"/>
  <c r="AA34" i="6"/>
  <c r="BF34" i="6"/>
  <c r="AA17" i="6"/>
  <c r="BF17" i="6"/>
  <c r="AA81" i="6"/>
  <c r="BF81" i="6"/>
  <c r="AA13" i="6"/>
  <c r="BF13" i="6"/>
  <c r="AA22" i="6"/>
  <c r="BF22" i="6"/>
  <c r="AA6" i="6"/>
  <c r="BF6" i="6"/>
  <c r="AB11" i="6"/>
  <c r="BG11" i="6"/>
  <c r="AA50" i="6"/>
  <c r="BF50" i="6"/>
  <c r="AA32" i="6"/>
  <c r="BF32" i="6"/>
  <c r="AB63" i="6"/>
  <c r="BG63" i="6"/>
  <c r="AA16" i="6"/>
  <c r="BF16" i="6"/>
  <c r="AA25" i="6"/>
  <c r="BF25" i="6"/>
  <c r="AD29" i="6"/>
  <c r="AG29" i="6" s="1"/>
  <c r="BH29" i="6"/>
  <c r="AB19" i="6"/>
  <c r="BG19" i="6"/>
  <c r="AA30" i="6"/>
  <c r="BF30" i="6"/>
  <c r="AA62" i="6"/>
  <c r="BF62" i="6"/>
  <c r="AA14" i="6"/>
  <c r="BF14" i="6"/>
  <c r="AB47" i="6"/>
  <c r="BG47" i="6"/>
  <c r="AA28" i="6"/>
  <c r="BF28" i="6"/>
  <c r="AA31" i="6"/>
  <c r="BF31" i="6"/>
  <c r="AB39" i="6"/>
  <c r="BG39" i="6"/>
  <c r="AA78" i="6"/>
  <c r="BF78" i="6"/>
  <c r="AA8" i="6"/>
  <c r="BF8" i="6"/>
  <c r="AB21" i="6"/>
  <c r="BG21" i="6"/>
  <c r="AB5" i="6"/>
  <c r="BG5" i="6"/>
  <c r="AB49" i="6"/>
  <c r="BG49" i="6"/>
  <c r="AA60" i="6"/>
  <c r="BF60" i="6"/>
  <c r="AA58" i="6"/>
  <c r="BF58" i="6"/>
  <c r="AB9" i="6"/>
  <c r="BG9" i="6"/>
  <c r="AA23" i="6"/>
  <c r="BF23" i="6"/>
  <c r="AA71" i="6"/>
  <c r="BF71" i="6"/>
  <c r="AB15" i="6"/>
  <c r="BG15" i="6"/>
  <c r="AA18" i="6"/>
  <c r="BF18" i="6"/>
  <c r="AA24" i="6"/>
  <c r="BF24" i="6"/>
  <c r="AA46" i="6"/>
  <c r="BF46" i="6"/>
  <c r="AA83" i="6"/>
  <c r="BF83" i="6"/>
  <c r="AA40" i="6"/>
  <c r="BF40" i="6"/>
  <c r="AA56" i="6"/>
  <c r="BF56" i="6"/>
  <c r="AB27" i="6"/>
  <c r="BG27" i="6"/>
  <c r="AB57" i="6"/>
  <c r="BG57" i="6"/>
  <c r="AB18" i="6" l="1"/>
  <c r="BG18" i="6"/>
  <c r="AB32" i="6"/>
  <c r="BG32" i="6"/>
  <c r="AB10" i="6"/>
  <c r="BG10" i="6"/>
  <c r="AB70" i="6"/>
  <c r="BG70" i="6"/>
  <c r="AD5" i="6"/>
  <c r="AG5" i="6" s="1"/>
  <c r="BH5" i="6"/>
  <c r="AB7" i="6"/>
  <c r="BG7" i="6"/>
  <c r="AD39" i="6"/>
  <c r="AG39" i="6" s="1"/>
  <c r="BH39" i="6"/>
  <c r="AB22" i="6"/>
  <c r="BG22" i="6"/>
  <c r="AB44" i="6"/>
  <c r="BG44" i="6"/>
  <c r="AB79" i="6"/>
  <c r="BG79" i="6"/>
  <c r="AD15" i="6"/>
  <c r="AE15" i="6" s="1"/>
  <c r="BH15" i="6"/>
  <c r="AB31" i="6"/>
  <c r="BG31" i="6"/>
  <c r="AB50" i="6"/>
  <c r="BG50" i="6"/>
  <c r="AB68" i="6"/>
  <c r="BG68" i="6"/>
  <c r="AB72" i="6"/>
  <c r="BG72" i="6"/>
  <c r="AD41" i="6"/>
  <c r="AG41" i="6" s="1"/>
  <c r="BH41" i="6"/>
  <c r="AB71" i="6"/>
  <c r="BG71" i="6"/>
  <c r="AB8" i="6"/>
  <c r="BG8" i="6"/>
  <c r="AB30" i="6"/>
  <c r="BG30" i="6"/>
  <c r="AB16" i="6"/>
  <c r="BG16" i="6"/>
  <c r="AD11" i="6"/>
  <c r="AG11" i="6" s="1"/>
  <c r="BH11" i="6"/>
  <c r="AB81" i="6"/>
  <c r="BG81" i="6"/>
  <c r="AB73" i="6"/>
  <c r="BG73" i="6"/>
  <c r="AB4" i="6"/>
  <c r="BG4" i="6"/>
  <c r="AD59" i="6"/>
  <c r="AE59" i="6" s="1"/>
  <c r="BH59" i="6"/>
  <c r="AB69" i="6"/>
  <c r="BG69" i="6"/>
  <c r="AB77" i="6"/>
  <c r="BG77" i="6"/>
  <c r="AD26" i="6"/>
  <c r="AG26" i="6" s="1"/>
  <c r="BH26" i="6"/>
  <c r="AB76" i="6"/>
  <c r="BG76" i="6"/>
  <c r="AB48" i="6"/>
  <c r="BG48" i="6"/>
  <c r="AD35" i="6"/>
  <c r="AG35" i="6" s="1"/>
  <c r="BH35" i="6"/>
  <c r="AB74" i="6"/>
  <c r="BG74" i="6"/>
  <c r="AD9" i="6"/>
  <c r="AG9" i="6" s="1"/>
  <c r="BH9" i="6"/>
  <c r="AR29" i="6"/>
  <c r="AS29" i="6" s="1"/>
  <c r="AJ29" i="6"/>
  <c r="AK29" i="6" s="1"/>
  <c r="AM29" i="6"/>
  <c r="AN29" i="6" s="1"/>
  <c r="AB36" i="6"/>
  <c r="BG36" i="6"/>
  <c r="AD43" i="6"/>
  <c r="AG43" i="6" s="1"/>
  <c r="BH43" i="6"/>
  <c r="AB83" i="6"/>
  <c r="BG83" i="6"/>
  <c r="AB58" i="6"/>
  <c r="BG58" i="6"/>
  <c r="AB62" i="6"/>
  <c r="BG62" i="6"/>
  <c r="AB13" i="6"/>
  <c r="BG13" i="6"/>
  <c r="AD55" i="6"/>
  <c r="AG55" i="6" s="1"/>
  <c r="BH55" i="6"/>
  <c r="AB20" i="6"/>
  <c r="BG20" i="6"/>
  <c r="AD51" i="6"/>
  <c r="AE51" i="6" s="1"/>
  <c r="BH51" i="6"/>
  <c r="AB46" i="6"/>
  <c r="BG46" i="6"/>
  <c r="AB60" i="6"/>
  <c r="BG60" i="6"/>
  <c r="AB28" i="6"/>
  <c r="BG28" i="6"/>
  <c r="AB40" i="6"/>
  <c r="BG40" i="6"/>
  <c r="AB14" i="6"/>
  <c r="BG14" i="6"/>
  <c r="AB34" i="6"/>
  <c r="BG34" i="6"/>
  <c r="AB80" i="6"/>
  <c r="BG80" i="6"/>
  <c r="AD61" i="6"/>
  <c r="AG61" i="6" s="1"/>
  <c r="BH61" i="6"/>
  <c r="AD57" i="6"/>
  <c r="AG57" i="6" s="1"/>
  <c r="BH57" i="6"/>
  <c r="AD21" i="6"/>
  <c r="AG21" i="6" s="1"/>
  <c r="BH21" i="6"/>
  <c r="AB25" i="6"/>
  <c r="BG25" i="6"/>
  <c r="AD45" i="6"/>
  <c r="AG45" i="6" s="1"/>
  <c r="BH45" i="6"/>
  <c r="AR64" i="6"/>
  <c r="AS64" i="6" s="1"/>
  <c r="AJ64" i="6"/>
  <c r="AK64" i="6" s="1"/>
  <c r="AM64" i="6"/>
  <c r="AN64" i="6" s="1"/>
  <c r="AB54" i="6"/>
  <c r="BG54" i="6"/>
  <c r="AB75" i="6"/>
  <c r="BG75" i="6"/>
  <c r="AD27" i="6"/>
  <c r="AE27" i="6" s="1"/>
  <c r="BH27" i="6"/>
  <c r="AB56" i="6"/>
  <c r="BG56" i="6"/>
  <c r="AB24" i="6"/>
  <c r="BG24" i="6"/>
  <c r="AB23" i="6"/>
  <c r="BG23" i="6"/>
  <c r="AD49" i="6"/>
  <c r="AG49" i="6" s="1"/>
  <c r="BH49" i="6"/>
  <c r="AB78" i="6"/>
  <c r="BG78" i="6"/>
  <c r="AD47" i="6"/>
  <c r="AG47" i="6" s="1"/>
  <c r="BH47" i="6"/>
  <c r="AD19" i="6"/>
  <c r="AG19" i="6" s="1"/>
  <c r="BH19" i="6"/>
  <c r="AD63" i="6"/>
  <c r="AG63" i="6" s="1"/>
  <c r="BH63" i="6"/>
  <c r="AB6" i="6"/>
  <c r="BG6" i="6"/>
  <c r="AB17" i="6"/>
  <c r="BG17" i="6"/>
  <c r="AB82" i="6"/>
  <c r="BG82" i="6"/>
  <c r="AB52" i="6"/>
  <c r="BG52" i="6"/>
  <c r="AB42" i="6"/>
  <c r="BG42" i="6"/>
  <c r="AB65" i="6"/>
  <c r="BG65" i="6"/>
  <c r="AB67" i="6"/>
  <c r="BG67" i="6"/>
  <c r="AB12" i="6"/>
  <c r="BG12" i="6"/>
  <c r="AB33" i="6"/>
  <c r="BG33" i="6"/>
  <c r="AB38" i="6"/>
  <c r="BG38" i="6"/>
  <c r="AD53" i="6"/>
  <c r="AG53" i="6" s="1"/>
  <c r="BH53" i="6"/>
  <c r="AB66" i="6"/>
  <c r="BG66" i="6"/>
  <c r="AM57" i="6" l="1"/>
  <c r="AN57" i="6" s="1"/>
  <c r="AR57" i="6"/>
  <c r="AS57" i="6" s="1"/>
  <c r="AJ57" i="6"/>
  <c r="AK57" i="6" s="1"/>
  <c r="AD14" i="6"/>
  <c r="AG14" i="6" s="1"/>
  <c r="BH14" i="6"/>
  <c r="AD46" i="6"/>
  <c r="AG46" i="6" s="1"/>
  <c r="BH46" i="6"/>
  <c r="AD13" i="6"/>
  <c r="AG13" i="6" s="1"/>
  <c r="BH13" i="6"/>
  <c r="AR43" i="6"/>
  <c r="AS43" i="6" s="1"/>
  <c r="AJ43" i="6"/>
  <c r="AK43" i="6" s="1"/>
  <c r="AM43" i="6"/>
  <c r="AN43" i="6" s="1"/>
  <c r="AD52" i="6"/>
  <c r="AG52" i="6" s="1"/>
  <c r="BH52" i="6"/>
  <c r="AD74" i="6"/>
  <c r="AG74" i="6" s="1"/>
  <c r="BH74" i="6"/>
  <c r="AR26" i="6"/>
  <c r="AS26" i="6" s="1"/>
  <c r="AM26" i="6"/>
  <c r="AN26" i="6" s="1"/>
  <c r="AJ26" i="6"/>
  <c r="AK26" i="6" s="1"/>
  <c r="AD4" i="6"/>
  <c r="AG4" i="6" s="1"/>
  <c r="BH4" i="6"/>
  <c r="AD16" i="6"/>
  <c r="AG16" i="6" s="1"/>
  <c r="BH16" i="6"/>
  <c r="AR41" i="6"/>
  <c r="AS41" i="6" s="1"/>
  <c r="AJ41" i="6"/>
  <c r="AK41" i="6" s="1"/>
  <c r="AM41" i="6"/>
  <c r="AN41" i="6" s="1"/>
  <c r="AD31" i="6"/>
  <c r="AG31" i="6" s="1"/>
  <c r="BH31" i="6"/>
  <c r="AD22" i="6"/>
  <c r="AG22" i="6" s="1"/>
  <c r="BH22" i="6"/>
  <c r="AD70" i="6"/>
  <c r="AE70" i="6" s="1"/>
  <c r="BH70" i="6"/>
  <c r="AD62" i="6"/>
  <c r="AE62" i="6" s="1"/>
  <c r="BH62" i="6"/>
  <c r="AD36" i="6"/>
  <c r="AE36" i="6" s="1"/>
  <c r="BH36" i="6"/>
  <c r="AR35" i="6"/>
  <c r="AS35" i="6" s="1"/>
  <c r="AJ35" i="6"/>
  <c r="AK35" i="6" s="1"/>
  <c r="AM35" i="6"/>
  <c r="AN35" i="6" s="1"/>
  <c r="AD77" i="6"/>
  <c r="AG77" i="6" s="1"/>
  <c r="BH77" i="6"/>
  <c r="AD73" i="6"/>
  <c r="AG73" i="6" s="1"/>
  <c r="BH73" i="6"/>
  <c r="AD30" i="6"/>
  <c r="AG30" i="6" s="1"/>
  <c r="BH30" i="6"/>
  <c r="AD72" i="6"/>
  <c r="AG72" i="6" s="1"/>
  <c r="BH72" i="6"/>
  <c r="AF15" i="6"/>
  <c r="AG15" i="6"/>
  <c r="AM39" i="6"/>
  <c r="AN39" i="6" s="1"/>
  <c r="AJ39" i="6"/>
  <c r="AK39" i="6" s="1"/>
  <c r="AR39" i="6"/>
  <c r="AS39" i="6" s="1"/>
  <c r="AD10" i="6"/>
  <c r="AG10" i="6" s="1"/>
  <c r="BH10" i="6"/>
  <c r="AD66" i="6"/>
  <c r="AG66" i="6" s="1"/>
  <c r="BH66" i="6"/>
  <c r="AJ63" i="6"/>
  <c r="AK63" i="6" s="1"/>
  <c r="AM63" i="6"/>
  <c r="AN63" i="6" s="1"/>
  <c r="AR63" i="6"/>
  <c r="AS63" i="6" s="1"/>
  <c r="AD40" i="6"/>
  <c r="AG40" i="6" s="1"/>
  <c r="BH40" i="6"/>
  <c r="AD82" i="6"/>
  <c r="AE82" i="6" s="1"/>
  <c r="BH82" i="6"/>
  <c r="AD80" i="6"/>
  <c r="AE80" i="6" s="1"/>
  <c r="BH80" i="6"/>
  <c r="AD58" i="6"/>
  <c r="AG58" i="6" s="1"/>
  <c r="BH58" i="6"/>
  <c r="AD38" i="6"/>
  <c r="AG38" i="6" s="1"/>
  <c r="BH38" i="6"/>
  <c r="AD65" i="6"/>
  <c r="AG65" i="6" s="1"/>
  <c r="BH65" i="6"/>
  <c r="AD17" i="6"/>
  <c r="AG17" i="6" s="1"/>
  <c r="BH17" i="6"/>
  <c r="AM47" i="6"/>
  <c r="AN47" i="6" s="1"/>
  <c r="AJ47" i="6"/>
  <c r="AK47" i="6" s="1"/>
  <c r="AR47" i="6"/>
  <c r="AS47" i="6" s="1"/>
  <c r="AD24" i="6"/>
  <c r="AG24" i="6" s="1"/>
  <c r="BH24" i="6"/>
  <c r="AD54" i="6"/>
  <c r="AG54" i="6" s="1"/>
  <c r="BH54" i="6"/>
  <c r="AD48" i="6"/>
  <c r="AG48" i="6" s="1"/>
  <c r="BH48" i="6"/>
  <c r="AD69" i="6"/>
  <c r="AG69" i="6" s="1"/>
  <c r="BH69" i="6"/>
  <c r="AD81" i="6"/>
  <c r="AE81" i="6" s="1"/>
  <c r="BH81" i="6"/>
  <c r="AD8" i="6"/>
  <c r="AE8" i="6" s="1"/>
  <c r="BH8" i="6"/>
  <c r="AD68" i="6"/>
  <c r="AG68" i="6" s="1"/>
  <c r="BH68" i="6"/>
  <c r="AD79" i="6"/>
  <c r="AE79" i="6" s="1"/>
  <c r="BH79" i="6"/>
  <c r="AD7" i="6"/>
  <c r="AG7" i="6" s="1"/>
  <c r="BH7" i="6"/>
  <c r="AD32" i="6"/>
  <c r="AG32" i="6" s="1"/>
  <c r="BH32" i="6"/>
  <c r="AF27" i="6"/>
  <c r="AG27" i="6"/>
  <c r="AM45" i="6"/>
  <c r="AN45" i="6" s="1"/>
  <c r="AR45" i="6"/>
  <c r="AS45" i="6" s="1"/>
  <c r="AJ45" i="6"/>
  <c r="AK45" i="6" s="1"/>
  <c r="AR61" i="6"/>
  <c r="AS61" i="6" s="1"/>
  <c r="AJ61" i="6"/>
  <c r="AK61" i="6" s="1"/>
  <c r="AM61" i="6"/>
  <c r="AN61" i="6" s="1"/>
  <c r="AD67" i="6"/>
  <c r="AG67" i="6" s="1"/>
  <c r="BH67" i="6"/>
  <c r="AD23" i="6"/>
  <c r="AG23" i="6" s="1"/>
  <c r="BH23" i="6"/>
  <c r="AD28" i="6"/>
  <c r="AG28" i="6" s="1"/>
  <c r="BH28" i="6"/>
  <c r="AM21" i="6"/>
  <c r="AN21" i="6" s="1"/>
  <c r="AJ21" i="6"/>
  <c r="AK21" i="6" s="1"/>
  <c r="AR21" i="6"/>
  <c r="AS21" i="6" s="1"/>
  <c r="AD34" i="6"/>
  <c r="AG34" i="6" s="1"/>
  <c r="BH34" i="6"/>
  <c r="AD60" i="6"/>
  <c r="AG60" i="6" s="1"/>
  <c r="BH60" i="6"/>
  <c r="AM55" i="6"/>
  <c r="AN55" i="6" s="1"/>
  <c r="AR55" i="6"/>
  <c r="AS55" i="6" s="1"/>
  <c r="AJ55" i="6"/>
  <c r="AK55" i="6" s="1"/>
  <c r="AD83" i="6"/>
  <c r="AE83" i="6" s="1"/>
  <c r="BH83" i="6"/>
  <c r="AD12" i="6"/>
  <c r="AE12" i="6" s="1"/>
  <c r="BH12" i="6"/>
  <c r="AJ49" i="6"/>
  <c r="AK49" i="6" s="1"/>
  <c r="AR49" i="6"/>
  <c r="AS49" i="6" s="1"/>
  <c r="AM49" i="6"/>
  <c r="AN49" i="6" s="1"/>
  <c r="AF51" i="6"/>
  <c r="AG51" i="6"/>
  <c r="AR53" i="6"/>
  <c r="AS53" i="6" s="1"/>
  <c r="AM53" i="6"/>
  <c r="AN53" i="6" s="1"/>
  <c r="AJ53" i="6"/>
  <c r="AK53" i="6" s="1"/>
  <c r="AJ19" i="6"/>
  <c r="AK19" i="6" s="1"/>
  <c r="AM19" i="6"/>
  <c r="AN19" i="6" s="1"/>
  <c r="AR19" i="6"/>
  <c r="AS19" i="6" s="1"/>
  <c r="AD75" i="6"/>
  <c r="AE75" i="6" s="1"/>
  <c r="BH75" i="6"/>
  <c r="AD25" i="6"/>
  <c r="AG25" i="6" s="1"/>
  <c r="BH25" i="6"/>
  <c r="AD20" i="6"/>
  <c r="AE20" i="6" s="1"/>
  <c r="BH20" i="6"/>
  <c r="AD33" i="6"/>
  <c r="AE33" i="6" s="1"/>
  <c r="BH33" i="6"/>
  <c r="AD42" i="6"/>
  <c r="AG42" i="6" s="1"/>
  <c r="BH42" i="6"/>
  <c r="AD6" i="6"/>
  <c r="AG6" i="6" s="1"/>
  <c r="BH6" i="6"/>
  <c r="AD78" i="6"/>
  <c r="AE78" i="6" s="1"/>
  <c r="BH78" i="6"/>
  <c r="AD56" i="6"/>
  <c r="AG56" i="6" s="1"/>
  <c r="BH56" i="6"/>
  <c r="AJ9" i="6"/>
  <c r="AK9" i="6" s="1"/>
  <c r="AR9" i="6"/>
  <c r="AS9" i="6" s="1"/>
  <c r="AM9" i="6"/>
  <c r="AN9" i="6" s="1"/>
  <c r="AD76" i="6"/>
  <c r="AG76" i="6" s="1"/>
  <c r="BH76" i="6"/>
  <c r="AF59" i="6"/>
  <c r="AG59" i="6"/>
  <c r="AJ11" i="6"/>
  <c r="AK11" i="6" s="1"/>
  <c r="AR11" i="6"/>
  <c r="AS11" i="6" s="1"/>
  <c r="AM11" i="6"/>
  <c r="AN11" i="6" s="1"/>
  <c r="AD71" i="6"/>
  <c r="AE71" i="6" s="1"/>
  <c r="BH71" i="6"/>
  <c r="AD50" i="6"/>
  <c r="AG50" i="6" s="1"/>
  <c r="BH50" i="6"/>
  <c r="AD44" i="6"/>
  <c r="AG44" i="6" s="1"/>
  <c r="BH44" i="6"/>
  <c r="AR5" i="6"/>
  <c r="AS5" i="6" s="1"/>
  <c r="AJ5" i="6"/>
  <c r="AK5" i="6" s="1"/>
  <c r="AM5" i="6"/>
  <c r="AN5" i="6" s="1"/>
  <c r="AD18" i="6"/>
  <c r="AG18" i="6" s="1"/>
  <c r="BH18" i="6"/>
  <c r="AH15" i="6" l="1"/>
  <c r="AI15" i="6" s="1"/>
  <c r="AH27" i="6"/>
  <c r="AI27" i="6" s="1"/>
  <c r="AM74" i="6"/>
  <c r="AN74" i="6" s="1"/>
  <c r="AJ74" i="6"/>
  <c r="AK74" i="6" s="1"/>
  <c r="AR74" i="6"/>
  <c r="AS74" i="6" s="1"/>
  <c r="AJ56" i="6"/>
  <c r="AK56" i="6" s="1"/>
  <c r="AM56" i="6"/>
  <c r="AN56" i="6" s="1"/>
  <c r="AR56" i="6"/>
  <c r="AS56" i="6" s="1"/>
  <c r="AF82" i="6"/>
  <c r="AG82" i="6"/>
  <c r="AJ7" i="6"/>
  <c r="AK7" i="6" s="1"/>
  <c r="AR7" i="6"/>
  <c r="AS7" i="6" s="1"/>
  <c r="AM7" i="6"/>
  <c r="AN7" i="6" s="1"/>
  <c r="AR42" i="6"/>
  <c r="AS42" i="6" s="1"/>
  <c r="AJ42" i="6"/>
  <c r="AK42" i="6" s="1"/>
  <c r="AM42" i="6"/>
  <c r="AN42" i="6" s="1"/>
  <c r="AF75" i="6"/>
  <c r="AG75" i="6"/>
  <c r="AR17" i="6"/>
  <c r="AS17" i="6" s="1"/>
  <c r="AJ17" i="6"/>
  <c r="AK17" i="6" s="1"/>
  <c r="AM17" i="6"/>
  <c r="AN17" i="6" s="1"/>
  <c r="AF80" i="6"/>
  <c r="AG80" i="6"/>
  <c r="AR15" i="6"/>
  <c r="AS15" i="6" s="1"/>
  <c r="AU15" i="6"/>
  <c r="AM77" i="6"/>
  <c r="AN77" i="6" s="1"/>
  <c r="AJ77" i="6"/>
  <c r="AK77" i="6" s="1"/>
  <c r="AR77" i="6"/>
  <c r="AS77" i="6" s="1"/>
  <c r="AM13" i="6"/>
  <c r="AN13" i="6" s="1"/>
  <c r="AJ13" i="6"/>
  <c r="AK13" i="6" s="1"/>
  <c r="AR13" i="6"/>
  <c r="AS13" i="6" s="1"/>
  <c r="AF8" i="6"/>
  <c r="AG8" i="6"/>
  <c r="AG70" i="6"/>
  <c r="AF70" i="6"/>
  <c r="AM65" i="6"/>
  <c r="AN65" i="6" s="1"/>
  <c r="AJ65" i="6"/>
  <c r="AK65" i="6" s="1"/>
  <c r="AR65" i="6"/>
  <c r="AS65" i="6" s="1"/>
  <c r="AJ24" i="6"/>
  <c r="AK24" i="6" s="1"/>
  <c r="AM24" i="6"/>
  <c r="AN24" i="6" s="1"/>
  <c r="AR24" i="6"/>
  <c r="AS24" i="6" s="1"/>
  <c r="AR50" i="6"/>
  <c r="AS50" i="6" s="1"/>
  <c r="AM50" i="6"/>
  <c r="AN50" i="6" s="1"/>
  <c r="AJ50" i="6"/>
  <c r="AK50" i="6" s="1"/>
  <c r="AR40" i="6"/>
  <c r="AS40" i="6" s="1"/>
  <c r="AJ40" i="6"/>
  <c r="AK40" i="6" s="1"/>
  <c r="AM40" i="6"/>
  <c r="AN40" i="6" s="1"/>
  <c r="AM30" i="6"/>
  <c r="AN30" i="6" s="1"/>
  <c r="AR30" i="6"/>
  <c r="AS30" i="6" s="1"/>
  <c r="AJ30" i="6"/>
  <c r="AK30" i="6" s="1"/>
  <c r="AJ18" i="6"/>
  <c r="AK18" i="6" s="1"/>
  <c r="AR18" i="6"/>
  <c r="AS18" i="6" s="1"/>
  <c r="AM18" i="6"/>
  <c r="AN18" i="6" s="1"/>
  <c r="AF12" i="6"/>
  <c r="AG12" i="6"/>
  <c r="AM23" i="6"/>
  <c r="AN23" i="6" s="1"/>
  <c r="AJ23" i="6"/>
  <c r="AK23" i="6" s="1"/>
  <c r="AR23" i="6"/>
  <c r="AS23" i="6" s="1"/>
  <c r="AF79" i="6"/>
  <c r="AG79" i="6"/>
  <c r="AM69" i="6"/>
  <c r="AN69" i="6" s="1"/>
  <c r="AR69" i="6"/>
  <c r="AS69" i="6" s="1"/>
  <c r="AJ69" i="6"/>
  <c r="AK69" i="6" s="1"/>
  <c r="AF36" i="6"/>
  <c r="AG36" i="6"/>
  <c r="AR31" i="6"/>
  <c r="AS31" i="6" s="1"/>
  <c r="AJ31" i="6"/>
  <c r="AK31" i="6" s="1"/>
  <c r="AM31" i="6"/>
  <c r="AN31" i="6" s="1"/>
  <c r="AR32" i="6"/>
  <c r="AS32" i="6" s="1"/>
  <c r="AM32" i="6"/>
  <c r="AN32" i="6" s="1"/>
  <c r="AJ32" i="6"/>
  <c r="AK32" i="6" s="1"/>
  <c r="AR44" i="6"/>
  <c r="AS44" i="6" s="1"/>
  <c r="AJ44" i="6"/>
  <c r="AK44" i="6" s="1"/>
  <c r="AM44" i="6"/>
  <c r="AN44" i="6" s="1"/>
  <c r="AG33" i="6"/>
  <c r="AF33" i="6"/>
  <c r="AM46" i="6"/>
  <c r="AN46" i="6" s="1"/>
  <c r="AR46" i="6"/>
  <c r="AS46" i="6" s="1"/>
  <c r="AJ46" i="6"/>
  <c r="AK46" i="6" s="1"/>
  <c r="AM28" i="6"/>
  <c r="AN28" i="6" s="1"/>
  <c r="AR28" i="6"/>
  <c r="AS28" i="6" s="1"/>
  <c r="AJ28" i="6"/>
  <c r="AK28" i="6" s="1"/>
  <c r="AR10" i="6"/>
  <c r="AS10" i="6" s="1"/>
  <c r="AM10" i="6"/>
  <c r="AN10" i="6" s="1"/>
  <c r="AJ10" i="6"/>
  <c r="AK10" i="6" s="1"/>
  <c r="AJ22" i="6"/>
  <c r="AK22" i="6" s="1"/>
  <c r="AM22" i="6"/>
  <c r="AN22" i="6" s="1"/>
  <c r="AR22" i="6"/>
  <c r="AS22" i="6" s="1"/>
  <c r="AR52" i="6"/>
  <c r="AS52" i="6" s="1"/>
  <c r="AJ52" i="6"/>
  <c r="AK52" i="6" s="1"/>
  <c r="AM52" i="6"/>
  <c r="AN52" i="6" s="1"/>
  <c r="AR60" i="6"/>
  <c r="AS60" i="6" s="1"/>
  <c r="AM60" i="6"/>
  <c r="AN60" i="6" s="1"/>
  <c r="AJ60" i="6"/>
  <c r="AK60" i="6" s="1"/>
  <c r="AR14" i="6"/>
  <c r="AS14" i="6" s="1"/>
  <c r="AM14" i="6"/>
  <c r="AN14" i="6" s="1"/>
  <c r="AJ14" i="6"/>
  <c r="AK14" i="6" s="1"/>
  <c r="AF71" i="6"/>
  <c r="AG71" i="6"/>
  <c r="AR6" i="6"/>
  <c r="AS6" i="6" s="1"/>
  <c r="AJ6" i="6"/>
  <c r="AK6" i="6" s="1"/>
  <c r="AM6" i="6"/>
  <c r="AN6" i="6" s="1"/>
  <c r="AR25" i="6"/>
  <c r="AS25" i="6" s="1"/>
  <c r="AM25" i="6"/>
  <c r="AN25" i="6" s="1"/>
  <c r="AJ25" i="6"/>
  <c r="AK25" i="6" s="1"/>
  <c r="AR34" i="6"/>
  <c r="AS34" i="6" s="1"/>
  <c r="AM34" i="6"/>
  <c r="AN34" i="6" s="1"/>
  <c r="AJ34" i="6"/>
  <c r="AK34" i="6" s="1"/>
  <c r="AJ58" i="6"/>
  <c r="AK58" i="6" s="1"/>
  <c r="AR58" i="6"/>
  <c r="AS58" i="6" s="1"/>
  <c r="AM58" i="6"/>
  <c r="AN58" i="6" s="1"/>
  <c r="AR73" i="6"/>
  <c r="AS73" i="6" s="1"/>
  <c r="AM73" i="6"/>
  <c r="AN73" i="6" s="1"/>
  <c r="AJ73" i="6"/>
  <c r="AK73" i="6" s="1"/>
  <c r="AR54" i="6"/>
  <c r="AS54" i="6" s="1"/>
  <c r="AJ54" i="6"/>
  <c r="AK54" i="6" s="1"/>
  <c r="AM54" i="6"/>
  <c r="AN54" i="6" s="1"/>
  <c r="AR66" i="6"/>
  <c r="AS66" i="6" s="1"/>
  <c r="AM66" i="6"/>
  <c r="AN66" i="6" s="1"/>
  <c r="AJ66" i="6"/>
  <c r="AK66" i="6" s="1"/>
  <c r="AJ59" i="6"/>
  <c r="AK59" i="6" s="1"/>
  <c r="AM59" i="6"/>
  <c r="AN59" i="6" s="1"/>
  <c r="AR59" i="6"/>
  <c r="AS59" i="6" s="1"/>
  <c r="AR72" i="6"/>
  <c r="AS72" i="6" s="1"/>
  <c r="AM72" i="6"/>
  <c r="AN72" i="6" s="1"/>
  <c r="AJ72" i="6"/>
  <c r="AK72" i="6" s="1"/>
  <c r="AR16" i="6"/>
  <c r="AS16" i="6" s="1"/>
  <c r="AM16" i="6"/>
  <c r="AN16" i="6" s="1"/>
  <c r="AJ16" i="6"/>
  <c r="AK16" i="6" s="1"/>
  <c r="AF81" i="6"/>
  <c r="AG81" i="6"/>
  <c r="AF78" i="6"/>
  <c r="AG78" i="6"/>
  <c r="AF20" i="6"/>
  <c r="AG20" i="6"/>
  <c r="AR38" i="6"/>
  <c r="AS38" i="6" s="1"/>
  <c r="AJ38" i="6"/>
  <c r="AK38" i="6" s="1"/>
  <c r="AM38" i="6"/>
  <c r="AN38" i="6" s="1"/>
  <c r="AM4" i="6"/>
  <c r="AN4" i="6" s="1"/>
  <c r="AJ4" i="6"/>
  <c r="AK4" i="6" s="1"/>
  <c r="AR4" i="6"/>
  <c r="AS4" i="6" s="1"/>
  <c r="AR76" i="6"/>
  <c r="AS76" i="6" s="1"/>
  <c r="AM76" i="6"/>
  <c r="AN76" i="6" s="1"/>
  <c r="AJ76" i="6"/>
  <c r="AK76" i="6" s="1"/>
  <c r="AJ51" i="6"/>
  <c r="AK51" i="6" s="1"/>
  <c r="AR51" i="6"/>
  <c r="AS51" i="6" s="1"/>
  <c r="AM51" i="6"/>
  <c r="AN51" i="6" s="1"/>
  <c r="AG83" i="6"/>
  <c r="AF83" i="6"/>
  <c r="AM67" i="6"/>
  <c r="AN67" i="6" s="1"/>
  <c r="AR67" i="6"/>
  <c r="AS67" i="6" s="1"/>
  <c r="AJ67" i="6"/>
  <c r="AK67" i="6" s="1"/>
  <c r="AU27" i="6"/>
  <c r="AR27" i="6"/>
  <c r="AS27" i="6" s="1"/>
  <c r="AR68" i="6"/>
  <c r="AS68" i="6" s="1"/>
  <c r="AJ68" i="6"/>
  <c r="AK68" i="6" s="1"/>
  <c r="AM68" i="6"/>
  <c r="AN68" i="6" s="1"/>
  <c r="AR48" i="6"/>
  <c r="AS48" i="6" s="1"/>
  <c r="AJ48" i="6"/>
  <c r="AK48" i="6" s="1"/>
  <c r="AM48" i="6"/>
  <c r="AN48" i="6" s="1"/>
  <c r="AF62" i="6"/>
  <c r="AG62" i="6"/>
  <c r="AH12" i="6" l="1"/>
  <c r="AI12" i="6" s="1"/>
  <c r="AH79" i="6"/>
  <c r="AI79" i="6" s="1"/>
  <c r="AH75" i="6"/>
  <c r="AI75" i="6" s="1"/>
  <c r="AH82" i="6"/>
  <c r="AI82" i="6"/>
  <c r="AH70" i="6"/>
  <c r="AI70" i="6" s="1"/>
  <c r="AH36" i="6"/>
  <c r="AI36" i="6"/>
  <c r="AH8" i="6"/>
  <c r="AI8" i="6"/>
  <c r="AH78" i="6"/>
  <c r="AI78" i="6" s="1"/>
  <c r="AH33" i="6"/>
  <c r="AI33" i="6" s="1"/>
  <c r="AU12" i="6"/>
  <c r="AR12" i="6"/>
  <c r="AS12" i="6" s="1"/>
  <c r="AJ20" i="6"/>
  <c r="AK20" i="6" s="1"/>
  <c r="AM20" i="6"/>
  <c r="AN20" i="6" s="1"/>
  <c r="AR20" i="6"/>
  <c r="AS20" i="6" s="1"/>
  <c r="AM15" i="6"/>
  <c r="AN15" i="6" s="1"/>
  <c r="AJ15" i="6"/>
  <c r="AK15" i="6" s="1"/>
  <c r="AJ80" i="6"/>
  <c r="AK80" i="6" s="1"/>
  <c r="AR80" i="6"/>
  <c r="AS80" i="6" s="1"/>
  <c r="AM80" i="6"/>
  <c r="AN80" i="6" s="1"/>
  <c r="AR82" i="6"/>
  <c r="AS82" i="6" s="1"/>
  <c r="AU82" i="6"/>
  <c r="AR83" i="6"/>
  <c r="AS83" i="6" s="1"/>
  <c r="AJ83" i="6"/>
  <c r="AK83" i="6" s="1"/>
  <c r="AM83" i="6"/>
  <c r="AN83" i="6" s="1"/>
  <c r="AR33" i="6"/>
  <c r="AS33" i="6" s="1"/>
  <c r="AU33" i="6"/>
  <c r="AM27" i="6"/>
  <c r="AN27" i="6" s="1"/>
  <c r="AJ27" i="6"/>
  <c r="AK27" i="6" s="1"/>
  <c r="AU78" i="6"/>
  <c r="AR78" i="6"/>
  <c r="AS78" i="6" s="1"/>
  <c r="AU79" i="6"/>
  <c r="AR79" i="6"/>
  <c r="AS79" i="6" s="1"/>
  <c r="AU75" i="6"/>
  <c r="AR75" i="6"/>
  <c r="AS75" i="6" s="1"/>
  <c r="AM62" i="6"/>
  <c r="AN62" i="6" s="1"/>
  <c r="AR62" i="6"/>
  <c r="AS62" i="6" s="1"/>
  <c r="AJ62" i="6"/>
  <c r="AK62" i="6" s="1"/>
  <c r="AR81" i="6"/>
  <c r="AS81" i="6" s="1"/>
  <c r="AJ81" i="6"/>
  <c r="AK81" i="6" s="1"/>
  <c r="AM81" i="6"/>
  <c r="AN81" i="6" s="1"/>
  <c r="AJ71" i="6"/>
  <c r="AK71" i="6" s="1"/>
  <c r="AR71" i="6"/>
  <c r="AS71" i="6" s="1"/>
  <c r="AM71" i="6"/>
  <c r="AN71" i="6" s="1"/>
  <c r="AU70" i="6"/>
  <c r="AR70" i="6"/>
  <c r="AS70" i="6" s="1"/>
  <c r="AU36" i="6"/>
  <c r="AR36" i="6"/>
  <c r="AS36" i="6" s="1"/>
  <c r="AU8" i="6"/>
  <c r="AM36" i="6" l="1"/>
  <c r="AN36" i="6" s="1"/>
  <c r="AJ36" i="6"/>
  <c r="AK36" i="6" s="1"/>
  <c r="D4" i="7"/>
  <c r="AJ82" i="6"/>
  <c r="AK82" i="6" s="1"/>
  <c r="AM82" i="6"/>
  <c r="AN82" i="6" s="1"/>
  <c r="AR8" i="6"/>
  <c r="F4" i="7"/>
  <c r="AJ12" i="6"/>
  <c r="AK12" i="6" s="1"/>
  <c r="AM12" i="6"/>
  <c r="AN12" i="6" s="1"/>
  <c r="AM33" i="6"/>
  <c r="AN33" i="6" s="1"/>
  <c r="AJ33" i="6"/>
  <c r="AK33" i="6" s="1"/>
  <c r="AV4" i="6"/>
  <c r="G3" i="7" s="1"/>
  <c r="AM8" i="6"/>
  <c r="AN8" i="6" s="1"/>
  <c r="AJ8" i="6"/>
  <c r="AM70" i="6"/>
  <c r="AN70" i="6" s="1"/>
  <c r="AJ70" i="6"/>
  <c r="AK70" i="6" s="1"/>
  <c r="AM78" i="6"/>
  <c r="AN78" i="6" s="1"/>
  <c r="AJ78" i="6"/>
  <c r="AK78" i="6" s="1"/>
  <c r="AM79" i="6"/>
  <c r="AN79" i="6" s="1"/>
  <c r="AJ79" i="6"/>
  <c r="AK79" i="6" s="1"/>
  <c r="E4" i="7" l="1"/>
  <c r="G4" i="7"/>
  <c r="AS8" i="6"/>
  <c r="AT4" i="6" s="1"/>
  <c r="F3" i="7" s="1"/>
  <c r="AT1" i="6"/>
  <c r="AJ75" i="6"/>
  <c r="AK75" i="6" s="1"/>
  <c r="AM75" i="6"/>
  <c r="AN75" i="6" s="1"/>
  <c r="AO4" i="6" s="1"/>
  <c r="E3" i="7" s="1"/>
  <c r="AK8" i="6"/>
  <c r="AL4" i="6" l="1"/>
  <c r="D3" i="7" s="1"/>
  <c r="AL1" i="6"/>
</calcChain>
</file>

<file path=xl/comments1.xml><?xml version="1.0" encoding="utf-8"?>
<comments xmlns="http://schemas.openxmlformats.org/spreadsheetml/2006/main">
  <authors>
    <author>Toshniwal Chetan</author>
  </authors>
  <commentList>
    <comment ref="AL1" authorId="0" shapeId="0">
      <text>
        <r>
          <rPr>
            <b/>
            <sz val="9"/>
            <color indexed="81"/>
            <rFont val="Tahoma"/>
            <charset val="1"/>
          </rPr>
          <t>Reasonableness check on the level of impact on profits vs excess of claims over account value.</t>
        </r>
        <r>
          <rPr>
            <sz val="9"/>
            <color indexed="81"/>
            <rFont val="Tahoma"/>
            <charset val="1"/>
          </rPr>
          <t xml:space="preserve">
</t>
        </r>
      </text>
    </comment>
    <comment ref="AT1" authorId="0" shapeId="0">
      <text>
        <r>
          <rPr>
            <b/>
            <sz val="9"/>
            <color rgb="FF000000"/>
            <rFont val="Tahoma"/>
            <family val="2"/>
          </rPr>
          <t>Reasonableness check on the level of impact on profits vs excess of claims over account value.</t>
        </r>
        <r>
          <rPr>
            <sz val="9"/>
            <color rgb="FF000000"/>
            <rFont val="Tahoma"/>
            <family val="2"/>
          </rPr>
          <t xml:space="preserve">
</t>
        </r>
      </text>
    </comment>
  </commentList>
</comments>
</file>

<file path=xl/sharedStrings.xml><?xml version="1.0" encoding="utf-8"?>
<sst xmlns="http://schemas.openxmlformats.org/spreadsheetml/2006/main" count="352" uniqueCount="146">
  <si>
    <t>Key data fields for a sample of policies</t>
  </si>
  <si>
    <t>Number</t>
  </si>
  <si>
    <t>Start date</t>
  </si>
  <si>
    <t>Annual Premium</t>
  </si>
  <si>
    <t>Term</t>
  </si>
  <si>
    <t>Current value</t>
  </si>
  <si>
    <t>Policy Information</t>
  </si>
  <si>
    <t>Investment returns</t>
  </si>
  <si>
    <t>Return achieved by the fund for each calendar year</t>
  </si>
  <si>
    <t>Year</t>
  </si>
  <si>
    <t>Return</t>
  </si>
  <si>
    <t>1 + Return</t>
  </si>
  <si>
    <t>Parameters</t>
  </si>
  <si>
    <t>Valuation Date</t>
  </si>
  <si>
    <t>Product features</t>
  </si>
  <si>
    <t>Min prem</t>
  </si>
  <si>
    <t>Max prem</t>
  </si>
  <si>
    <t>First start date</t>
  </si>
  <si>
    <t>Last start date</t>
  </si>
  <si>
    <t>Amended Data</t>
  </si>
  <si>
    <t>Count erorrs:</t>
  </si>
  <si>
    <t>Premium</t>
  </si>
  <si>
    <t>Check Start date</t>
  </si>
  <si>
    <t>Check premium</t>
  </si>
  <si>
    <t>Check term</t>
  </si>
  <si>
    <t>Revised Prem</t>
  </si>
  <si>
    <t>Revised Start Date</t>
  </si>
  <si>
    <t>Fund Value calculations</t>
  </si>
  <si>
    <t>No</t>
  </si>
  <si>
    <t>Formulae</t>
  </si>
  <si>
    <t>Claim Limit</t>
  </si>
  <si>
    <t>New claim limit for 2020 policies</t>
  </si>
  <si>
    <t>Term * Annual Premium * 90%</t>
  </si>
  <si>
    <t>Min Term</t>
  </si>
  <si>
    <t>Max Term</t>
  </si>
  <si>
    <t xml:space="preserve">Bonus </t>
  </si>
  <si>
    <t>Bonus Rates</t>
  </si>
  <si>
    <t>Revised Term</t>
  </si>
  <si>
    <t>Company Profits</t>
  </si>
  <si>
    <t>Baseline</t>
  </si>
  <si>
    <t>Y</t>
  </si>
  <si>
    <t>N</t>
  </si>
  <si>
    <t>Scenario 1</t>
  </si>
  <si>
    <t>Potential Payout on claim</t>
  </si>
  <si>
    <t>Check on claim limit</t>
  </si>
  <si>
    <t>Scenario 2</t>
  </si>
  <si>
    <t>Cumulative return to end of 2020</t>
  </si>
  <si>
    <t xml:space="preserve">Scenario 1 - Claim Limit </t>
  </si>
  <si>
    <t>Baseline - Claim Limit</t>
  </si>
  <si>
    <t>Check value</t>
  </si>
  <si>
    <t>Revised value</t>
  </si>
  <si>
    <t>Total Profits prior to options availed at 31/12/2020</t>
  </si>
  <si>
    <t>Option Availed at 31/12/2020?</t>
  </si>
  <si>
    <t>Bonus Rate</t>
  </si>
  <si>
    <t>Bonus Rates declared in 2020 depending on cohort of start year</t>
  </si>
  <si>
    <t>Yearly Premium Projection</t>
  </si>
  <si>
    <t>Impact on Profits</t>
  </si>
  <si>
    <t>Claims made in past?</t>
  </si>
  <si>
    <t>Check for no past claims</t>
  </si>
  <si>
    <t>Scenario 3</t>
  </si>
  <si>
    <t>Term * Annual Premium * 150%</t>
  </si>
  <si>
    <t>Policyholder bonus in 2020</t>
  </si>
  <si>
    <t>Sense Check (In Force Policies)</t>
  </si>
  <si>
    <t>Claims to Date in 2020</t>
  </si>
  <si>
    <t>Scenario 3 - surrender payout %</t>
  </si>
  <si>
    <t>New Payout Over Account Value</t>
  </si>
  <si>
    <t>20% of accumulated account value * (1 + bonus rate depending on start year)</t>
  </si>
  <si>
    <t>Total Profits</t>
  </si>
  <si>
    <t>Bonus for all policies</t>
  </si>
  <si>
    <t>Original</t>
  </si>
  <si>
    <t>Policy Values</t>
  </si>
  <si>
    <t>Yearly Fund Value Projection</t>
  </si>
  <si>
    <t>Claims and Bonus</t>
  </si>
  <si>
    <t>Base Scenario</t>
  </si>
  <si>
    <t>Corrected current value</t>
  </si>
  <si>
    <t>Corrected Claims to Date</t>
  </si>
  <si>
    <t>Checks</t>
  </si>
  <si>
    <t>On total premium</t>
  </si>
  <si>
    <t>Growth rate</t>
  </si>
  <si>
    <t>Fund value proportion for bonus</t>
  </si>
  <si>
    <t>Fund value proportion for base claim</t>
  </si>
  <si>
    <t>Scenario 2 - Bonus</t>
  </si>
  <si>
    <t xml:space="preserve">Introduction </t>
  </si>
  <si>
    <t>The indicative solution has been written by the Examiners with the aim of helping candidates. The solutions given are only indicative. It is realized that there could be other points as valid answers and examiner have given credit for any alternative approach or interpretation which they consider to be reasonable.</t>
  </si>
  <si>
    <t>Audit trail</t>
  </si>
  <si>
    <t>• The tab has following formulas:</t>
  </si>
  <si>
    <r>
      <t xml:space="preserve">• Data: </t>
    </r>
    <r>
      <rPr>
        <sz val="12"/>
        <color rgb="FF000000"/>
        <rFont val="Times New Roman"/>
        <family val="1"/>
      </rPr>
      <t>A sample of policy data, including start date, annual premium, term, current fund value, and information of which policyholders have opted to get the maximum payout in 2020, and which policyholders have previously made claims. Some data checks are required for these fields.</t>
    </r>
  </si>
  <si>
    <t>Returns and Bonus Tab</t>
  </si>
  <si>
    <t>This tab captures information related to past returns on the fund and bonus declared by the XYZ Company.</t>
  </si>
  <si>
    <t>The tab has two tables, one for annual investment return on the fund and the other table is for bonus rates declared by XYZ insurance company. The investment return is for year 2010 to 2020 and is net of all the charges.  In addition, the bonus rates declared in 2020 which vary for policies by start year is also provided. Given the information is quite simple and no obvious errors, the data is assumed to be correct.</t>
  </si>
  <si>
    <t>Parameters Tab:</t>
  </si>
  <si>
    <t>This tab captures following parameters and corresponding values.</t>
  </si>
  <si>
    <t>Amended Data Tab:</t>
  </si>
  <si>
    <t>This tab performs various checks on the data and as required the data is amended.</t>
  </si>
  <si>
    <t xml:space="preserve">The starting point was pulling the policy information provided in the Data &amp; Formulae sheet to the Amended Data sheet using formula references. </t>
  </si>
  <si>
    <t>The following checks were performed on the policy data:</t>
  </si>
  <si>
    <t xml:space="preserve">1. Start date: In column F, we check whether the start date is outside the range that these policies were sold. This is from 1 January 2010 to 31 December 2020 which is the valuation date. Four errors were found. Three of these errors were likely typos, as the data seemed to be in chronological order, and the typo was likely the year being 2003, 2005 or 2009 where it should have been 2013, 2015 or 2019 based on the policies in the adjacent rows. These corrections were made manually. The fourth error was a 29 February date for a non-leap year, so this was assumed to be 28 February instead. </t>
  </si>
  <si>
    <t xml:space="preserve">2. Premium: In column G, the premium is checked to see whether it is within the range of the product specification (minimum 200 and maximum 10,000 – linked from the Parameters sheet). There are three errors – for policies with premium data beyond the range, we assume the data should be reset to the limit. For example, values higher than 10,000 are set to 10,000 and those below 200 are set at 200. </t>
  </si>
  <si>
    <t xml:space="preserve">3. Term: In column H, the term is checked to see whether it is within the range of the product specification (minimum 1 and maximum 30 – linked from the Parameters sheet). Similar to the premium, any data beyond the maximum range of 30 are assumed to be typos and set at 30 – there were two such errors found.
</t>
  </si>
  <si>
    <t>4. Current Value: In Column I, a simple check is performed as two current values were spotted to be negative. These are reset to zero assuming the past claims have exhausted the accumulated value of premiums.</t>
  </si>
  <si>
    <t>A further sense check is performed in Column O to see whether the start year + term of the policy goes beyond the valuation date, to check if any policies are no longer in force and do not need to be considered. No such policies were found.</t>
  </si>
  <si>
    <t>Assumptions:</t>
  </si>
  <si>
    <t>Various assumptions used in the projection and calculation are listed below:</t>
  </si>
  <si>
    <t>Calculations Tab:</t>
  </si>
  <si>
    <t>This tab performs calculation related to projection of fund value, bonus, claims payout and profit under base and 3 different scenarios.</t>
  </si>
  <si>
    <t>In Columns B to G policy data has been pulled from amended data and data and formulae tab.</t>
  </si>
  <si>
    <t>In Columns G to Q, the premium amount is projected for all policies by checking the start year, assuming the amount of premium is constant as stated earlier.</t>
  </si>
  <si>
    <t>In Columns R to AB, these amounts are accumulated with the rate of investment returns provided. The formula is assumed to be (starting value + new premiums)*(1+investment return for the corresponding year).</t>
  </si>
  <si>
    <t>Column AD projects the total value of claims from inception of the policy to  31.12.2020, as this amount has not been provided. This is calculated as the difference between the accumulated value of premiums versus the provided current fund value. This is because the (accumulated value of premiums – claims to date in 2020) = current fund value. As no claims were made before 2020, no need to consider any interest impact for claims.</t>
  </si>
  <si>
    <t>Column AE checks that the amount of past claims calculated is zero for all policies where the data provided indicated that no past claims have been made. Two errors show up, where policies have made no past claims, but the projected fund value does not match the value of the funds provided. Correction should be made to make the fund value match the projected value of premiums considering investment returns.</t>
  </si>
  <si>
    <t>Column AF picks corrected account values based on error found in column AE.</t>
  </si>
  <si>
    <t>Column AG calculates the bonus as 20% of current fund value * ( 1+ bonus rate) looked up by start year.</t>
  </si>
  <si>
    <t>Base scenario:</t>
  </si>
  <si>
    <t>Column AH calculates the potential payout on claim, which is 80% of the current fund value + bonus, as stated in the policy specifications</t>
  </si>
  <si>
    <t>Column AI adjusts this amount in case the potential payout amount breaches the limit of 150% of term * premium.</t>
  </si>
  <si>
    <t>Column AJ calculates the impact on profits as a reduction in fund value capped at the amount of fund value. If the total amount to be paid out exceeds the fund value, it is assumed that the entire fund value amount only is paid out.</t>
  </si>
  <si>
    <t>Column AK then gives the adjusted total profit value, which is the original 25,000 adjusted with the impact in Column AJ. As expected, the impact of the amounts being paid out has reduced the profits significantly.</t>
  </si>
  <si>
    <t>A reasonableness check performed on level of impact on profits is equal to sum of account value less potential payment of claims in case of all policies availing the option. Result found satisfactory as the difference was less than 5%.</t>
  </si>
  <si>
    <t>Scenario 1:</t>
  </si>
  <si>
    <t>Columns AL and AM revise the amount to be paid out based on the revised claim limit of 90% premium * term, and as expected this leads to a higher total profits in Column AM in this scenario. This is not surprising given a lower amount is paid out for policies with a higher amount of claims.</t>
  </si>
  <si>
    <t>Scenario 2:</t>
  </si>
  <si>
    <t>Columns AO to AS revise the calculations in Scenario 2 assuming no additional bonus is paid out. Based on the amount of current fund value, the profit impact is calculated as 1% of the amount of potential claim payout. As expected the profits, in this scenario are also higher than the baseline.</t>
  </si>
  <si>
    <t>Scenario 3:</t>
  </si>
  <si>
    <t>Column AT and AU calculate the impact for the surrender option being availed by the same group of policyholders, with the profit changing with the amount being 2.5% of the current fund value. The amount of profits turns out to be very similar to the baseline so it looks like this scenario does not really benefit the company compared to the original situation. The company would likely need to reduce the surrender payout further.</t>
  </si>
  <si>
    <t>Checks:</t>
  </si>
  <si>
    <t>Different checks are performed on the extreme right side of the tab.</t>
  </si>
  <si>
    <t>• Column AX captures check on total premiums used for projection of account value. In case of any error the cell color change to Red and value as false. No error was observed.
• Column AY to BH captures check on growth rate used for projection. The tolerance limit set to +-0.1%. No errors found.</t>
  </si>
  <si>
    <t>Results
This tab summarizes both total profit and bonus under base and three different scenarios.</t>
  </si>
  <si>
    <t xml:space="preserve">Summary table picks values of total profit and total bonus under base and three different scenarios from the Calculations tab.
The graphs brings in the total profit and bonus payment total, and the change under the three scenarios compared to the baseline. These four are presented on a bar graph. 
</t>
  </si>
  <si>
    <r>
      <rPr>
        <b/>
        <sz val="12"/>
        <color theme="1"/>
        <rFont val="Times New Roman"/>
        <family val="1"/>
      </rPr>
      <t>Data &amp; Formulae Tab:</t>
    </r>
    <r>
      <rPr>
        <sz val="12"/>
        <color theme="1"/>
        <rFont val="Times New Roman"/>
        <family val="1"/>
      </rPr>
      <t xml:space="preserve">
</t>
    </r>
    <r>
      <rPr>
        <i/>
        <sz val="12"/>
        <color theme="1"/>
        <rFont val="Times New Roman"/>
        <family val="1"/>
      </rPr>
      <t>This tab captures various formulas related to the product limits and the sample policy data, in its original form, provided by the XYZ Insurance company.</t>
    </r>
  </si>
  <si>
    <r>
      <rPr>
        <b/>
        <sz val="12"/>
        <color theme="1"/>
        <rFont val="Times New Roman"/>
        <family val="1"/>
      </rPr>
      <t>Objective</t>
    </r>
    <r>
      <rPr>
        <sz val="12"/>
        <color theme="1"/>
        <rFont val="Times New Roman"/>
        <family val="1"/>
      </rPr>
      <t xml:space="preserve">
XYZ Insurance company has been hit with large number of claims from it’s top selling product due to ongoing Covid pandemic. CFO of the company has asked to assess the impact of the claims on year 2020 profitability of the company under different scenarios. 
A spreadsheet model has been developed to project the impact on profitability of the company. The purpose of the model is to perform following calculations  for the XYZ Insurance Company:
• Performs checks on the data provided
• Projects the accumulated fund value at the end of year 2020 for each policy
• Calculates the bonus payout subject to each policy claim limit
• Estimates profit impact from claims and bonus payout in the baseline scenario and three additional scenarios provided by the CFO of the company 
The model has different tabs. Detailed description of each tab is provided below in turn.</t>
    </r>
  </si>
  <si>
    <t>1. Bonus rates are declared at the beginning of the year, and paid at the time of claim</t>
  </si>
  <si>
    <t>2. For simplicity in calculations, annual calculations can be done assuming claims are paid out at the end of the year including bonus amounts</t>
  </si>
  <si>
    <t xml:space="preserve">3. Profit to the company is already separately assumed to be correct based on data inputs, and the profit impact is simply calculated as profit before considering options availed, only by adjusting the claim + bonus paid out. </t>
  </si>
  <si>
    <t>4. All the policies commence at the beginning of the year</t>
  </si>
  <si>
    <t>5. Investment returns are credited at the end of the year, based on the data provided</t>
  </si>
  <si>
    <t xml:space="preserve">6. Bonus amount are simply based on rates declared, by looking up the rates by start year </t>
  </si>
  <si>
    <t>7. There are no lapses and can be assumed to have no impact</t>
  </si>
  <si>
    <t>8. There are no additional benefits paid to policyholders on top of what has been mentioned</t>
  </si>
  <si>
    <t>9. As long as the claim amount including bonus is within the claim limit, the policyholder can continue claiming with no restriction on number of claims, only on the amount</t>
  </si>
  <si>
    <t>10. Policies with claims history, it can be assumed the value of claims to date can simply be assumed to be the difference between the accumulated value of premiums and current fund value. No need to consider interest impact on claims.</t>
  </si>
  <si>
    <t>12. There is no premium lapse or premium holiday option</t>
  </si>
  <si>
    <t>11. Premium amount remains constant over the policy years</t>
  </si>
  <si>
    <t>13. Premium payment term is equal to policy term</t>
  </si>
  <si>
    <t>14. Pandemic related exclusion or any other special conditions related to COVID-19 are not present if not specified</t>
  </si>
  <si>
    <t>15. The impact on profits to the company is simply based on the maximum amount paid out, which cannot exceed the amount available to be paid based on the account value and also needs to stay within the claim limit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</si>
</sst>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0;\-#,##0;&quot;-&quot;;@"/>
    <numFmt numFmtId="166" formatCode="#,##0.00;\-#,##0.00;&quot;-&quot;;@"/>
    <numFmt numFmtId="167" formatCode="0.0%"/>
    <numFmt numFmtId="168" formatCode="_-* #,##0.000_-;\-* #,##0.000_-;_-* &quot;-&quot;??_-;_-@_-"/>
    <numFmt numFmtId="169" formatCode="_-* #,##0.00000_-;\-* #,##0.00000_-;_-* &quot;-&quot;??_-;_-@_-"/>
    <numFmt numFmtId="170" formatCode="_(* #,##0_);_(* \(#,##0\);_(* &quot;-&quot;??_);_(@_)"/>
  </numFmts>
  <fonts count="24" x14ac:knownFonts="1">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3"/>
      <color theme="1"/>
      <name val="Calibri"/>
      <family val="2"/>
      <scheme val="minor"/>
    </font>
    <font>
      <b/>
      <sz val="12"/>
      <color rgb="FF000000"/>
      <name val="Calibri"/>
      <family val="2"/>
      <scheme val="minor"/>
    </font>
    <font>
      <sz val="11"/>
      <color rgb="FF000000"/>
      <name val="Calibri"/>
      <family val="2"/>
      <scheme val="minor"/>
    </font>
    <font>
      <b/>
      <sz val="11"/>
      <color rgb="FF000000"/>
      <name val="Calibri"/>
      <family val="2"/>
      <scheme val="minor"/>
    </font>
    <font>
      <sz val="12"/>
      <color rgb="FFFF0000"/>
      <name val="Calibri"/>
      <family val="2"/>
      <scheme val="minor"/>
    </font>
    <font>
      <sz val="11"/>
      <color theme="1"/>
      <name val="Calibri"/>
      <family val="2"/>
      <scheme val="minor"/>
    </font>
    <font>
      <sz val="11"/>
      <color rgb="FFFF0000"/>
      <name val="Calibri"/>
      <family val="2"/>
      <scheme val="minor"/>
    </font>
    <font>
      <b/>
      <sz val="12"/>
      <color theme="0"/>
      <name val="Calibri"/>
      <family val="2"/>
      <scheme val="minor"/>
    </font>
    <font>
      <b/>
      <sz val="11"/>
      <color theme="0"/>
      <name val="Calibri"/>
      <family val="2"/>
      <scheme val="minor"/>
    </font>
    <font>
      <sz val="12"/>
      <color rgb="FF000000"/>
      <name val="Calibri"/>
      <family val="2"/>
      <scheme val="minor"/>
    </font>
    <font>
      <sz val="9"/>
      <color indexed="81"/>
      <name val="Tahoma"/>
      <charset val="1"/>
    </font>
    <font>
      <b/>
      <sz val="9"/>
      <color indexed="81"/>
      <name val="Tahoma"/>
      <charset val="1"/>
    </font>
    <font>
      <b/>
      <sz val="9"/>
      <color rgb="FF000000"/>
      <name val="Tahoma"/>
      <family val="2"/>
    </font>
    <font>
      <sz val="9"/>
      <color rgb="FF000000"/>
      <name val="Tahoma"/>
      <family val="2"/>
    </font>
    <font>
      <sz val="12"/>
      <color theme="1"/>
      <name val="Times New Roman"/>
      <family val="1"/>
    </font>
    <font>
      <b/>
      <sz val="12"/>
      <color rgb="FF000000"/>
      <name val="Times New Roman"/>
      <family val="1"/>
    </font>
    <font>
      <sz val="12"/>
      <color rgb="FF000000"/>
      <name val="Times New Roman"/>
      <family val="1"/>
    </font>
    <font>
      <i/>
      <sz val="12"/>
      <color theme="1"/>
      <name val="Times New Roman"/>
      <family val="1"/>
    </font>
    <font>
      <b/>
      <sz val="12"/>
      <color theme="1"/>
      <name val="Times New Roman"/>
      <family val="1"/>
    </font>
    <font>
      <b/>
      <i/>
      <sz val="12"/>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theme="2" tint="-0.749992370372631"/>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1" tint="4.9989318521683403E-2"/>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0" fontId="9" fillId="0" borderId="0"/>
    <xf numFmtId="164" fontId="9"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2" fillId="0" borderId="0" xfId="0" applyFont="1"/>
    <xf numFmtId="0" fontId="3" fillId="0" borderId="0" xfId="0" applyFont="1"/>
    <xf numFmtId="14" fontId="0" fillId="0" borderId="0" xfId="0" applyNumberFormat="1"/>
    <xf numFmtId="165" fontId="0" fillId="0" borderId="0" xfId="0" applyNumberFormat="1"/>
    <xf numFmtId="166" fontId="0" fillId="0" borderId="0" xfId="0" applyNumberFormat="1"/>
    <xf numFmtId="0" fontId="4" fillId="0" borderId="0" xfId="0" applyFont="1"/>
    <xf numFmtId="0" fontId="3" fillId="0" borderId="0" xfId="0" applyFont="1" applyAlignment="1">
      <alignment wrapText="1"/>
    </xf>
    <xf numFmtId="0" fontId="5" fillId="0" borderId="0" xfId="0" applyFont="1"/>
    <xf numFmtId="0" fontId="6" fillId="0" borderId="0" xfId="0" applyFont="1"/>
    <xf numFmtId="14" fontId="6" fillId="0" borderId="0" xfId="0" applyNumberFormat="1" applyFont="1"/>
    <xf numFmtId="9" fontId="6" fillId="0" borderId="0" xfId="0" applyNumberFormat="1" applyFont="1"/>
    <xf numFmtId="0" fontId="7" fillId="0" borderId="0" xfId="0" applyFont="1"/>
    <xf numFmtId="14" fontId="6" fillId="0" borderId="6" xfId="0" applyNumberFormat="1" applyFont="1" applyBorder="1"/>
    <xf numFmtId="165" fontId="6" fillId="0" borderId="0" xfId="0" applyNumberFormat="1" applyFont="1"/>
    <xf numFmtId="166" fontId="6" fillId="0" borderId="4" xfId="0" applyNumberFormat="1" applyFont="1" applyBorder="1"/>
    <xf numFmtId="14" fontId="6" fillId="0" borderId="7" xfId="0" applyNumberFormat="1" applyFont="1" applyBorder="1"/>
    <xf numFmtId="165" fontId="6" fillId="0" borderId="8" xfId="0" applyNumberFormat="1" applyFont="1" applyBorder="1"/>
    <xf numFmtId="0" fontId="6" fillId="0" borderId="8" xfId="0" applyFont="1" applyBorder="1"/>
    <xf numFmtId="166" fontId="6" fillId="0" borderId="2" xfId="0" applyNumberFormat="1" applyFont="1" applyBorder="1"/>
    <xf numFmtId="0" fontId="8" fillId="0" borderId="0" xfId="0" applyFont="1"/>
    <xf numFmtId="165" fontId="6" fillId="0" borderId="0" xfId="0" applyNumberFormat="1" applyFont="1" applyBorder="1"/>
    <xf numFmtId="167" fontId="8" fillId="0" borderId="0" xfId="0" applyNumberFormat="1" applyFont="1"/>
    <xf numFmtId="168" fontId="8" fillId="0" borderId="0" xfId="1" applyNumberFormat="1" applyFont="1"/>
    <xf numFmtId="169" fontId="8" fillId="0" borderId="0" xfId="1" applyNumberFormat="1" applyFont="1"/>
    <xf numFmtId="0" fontId="10" fillId="0" borderId="0" xfId="0" applyFont="1"/>
    <xf numFmtId="9" fontId="10" fillId="0" borderId="0" xfId="0" applyNumberFormat="1" applyFont="1"/>
    <xf numFmtId="170" fontId="0" fillId="0" borderId="0" xfId="1" applyNumberFormat="1" applyFont="1"/>
    <xf numFmtId="166" fontId="6" fillId="0" borderId="0" xfId="0" applyNumberFormat="1" applyFont="1" applyBorder="1"/>
    <xf numFmtId="0" fontId="0" fillId="0" borderId="0" xfId="0" applyFont="1"/>
    <xf numFmtId="0" fontId="9" fillId="0" borderId="0" xfId="0" applyFont="1"/>
    <xf numFmtId="9" fontId="9" fillId="0" borderId="0" xfId="0" applyNumberFormat="1" applyFont="1"/>
    <xf numFmtId="170" fontId="0" fillId="0" borderId="0" xfId="0" applyNumberFormat="1"/>
    <xf numFmtId="14" fontId="0" fillId="0" borderId="0" xfId="0" applyNumberFormat="1" applyFont="1"/>
    <xf numFmtId="167" fontId="0" fillId="0" borderId="0" xfId="0" applyNumberFormat="1" applyFont="1"/>
    <xf numFmtId="168" fontId="0" fillId="0" borderId="0" xfId="1" applyNumberFormat="1" applyFont="1"/>
    <xf numFmtId="169" fontId="0" fillId="0" borderId="0" xfId="1" applyNumberFormat="1" applyFont="1"/>
    <xf numFmtId="43" fontId="0" fillId="0" borderId="0" xfId="0" applyNumberFormat="1"/>
    <xf numFmtId="170" fontId="1" fillId="0" borderId="0" xfId="1" applyNumberFormat="1" applyFont="1"/>
    <xf numFmtId="0" fontId="13" fillId="0" borderId="0" xfId="0" applyFont="1"/>
    <xf numFmtId="10" fontId="9" fillId="0" borderId="0" xfId="0" applyNumberFormat="1" applyFont="1"/>
    <xf numFmtId="0" fontId="0" fillId="0" borderId="5" xfId="0" applyBorder="1"/>
    <xf numFmtId="170" fontId="0" fillId="0" borderId="5" xfId="1" applyNumberFormat="1" applyFont="1" applyBorder="1"/>
    <xf numFmtId="0" fontId="2" fillId="0" borderId="5" xfId="0" applyFont="1" applyBorder="1"/>
    <xf numFmtId="0" fontId="0" fillId="0" borderId="0" xfId="0" applyAlignment="1">
      <alignment wrapText="1"/>
    </xf>
    <xf numFmtId="14" fontId="0" fillId="0" borderId="5" xfId="0" applyNumberFormat="1" applyBorder="1"/>
    <xf numFmtId="165" fontId="0" fillId="0" borderId="5" xfId="0" applyNumberFormat="1" applyBorder="1"/>
    <xf numFmtId="166" fontId="0" fillId="0" borderId="5" xfId="0" applyNumberFormat="1" applyBorder="1"/>
    <xf numFmtId="165" fontId="0" fillId="0" borderId="5" xfId="0" applyNumberFormat="1" applyFont="1" applyBorder="1"/>
    <xf numFmtId="14" fontId="0" fillId="0" borderId="5" xfId="0" applyNumberFormat="1" applyFont="1" applyBorder="1"/>
    <xf numFmtId="170" fontId="1" fillId="0" borderId="5" xfId="1" applyNumberFormat="1" applyFont="1" applyBorder="1"/>
    <xf numFmtId="0" fontId="0" fillId="2" borderId="5" xfId="0" applyFill="1" applyBorder="1"/>
    <xf numFmtId="165" fontId="0" fillId="2" borderId="5" xfId="0" applyNumberFormat="1" applyFont="1" applyFill="1" applyBorder="1"/>
    <xf numFmtId="170" fontId="0" fillId="2" borderId="5" xfId="1" applyNumberFormat="1" applyFont="1" applyFill="1" applyBorder="1"/>
    <xf numFmtId="14" fontId="0" fillId="2" borderId="5" xfId="0" applyNumberFormat="1" applyFont="1" applyFill="1" applyBorder="1"/>
    <xf numFmtId="165" fontId="6" fillId="0" borderId="5" xfId="0" applyNumberFormat="1" applyFont="1" applyBorder="1"/>
    <xf numFmtId="0" fontId="6" fillId="0" borderId="5" xfId="0" applyFont="1" applyBorder="1"/>
    <xf numFmtId="166" fontId="6" fillId="0" borderId="5" xfId="0" applyNumberFormat="1" applyFont="1" applyBorder="1"/>
    <xf numFmtId="170" fontId="6" fillId="0" borderId="5" xfId="1" applyNumberFormat="1" applyFont="1" applyBorder="1"/>
    <xf numFmtId="165" fontId="7" fillId="0" borderId="10" xfId="0" applyNumberFormat="1" applyFont="1" applyBorder="1"/>
    <xf numFmtId="165" fontId="6" fillId="0" borderId="10" xfId="0" applyNumberFormat="1" applyFont="1" applyBorder="1"/>
    <xf numFmtId="165" fontId="6" fillId="0" borderId="12" xfId="0" applyNumberFormat="1" applyFont="1" applyBorder="1"/>
    <xf numFmtId="0" fontId="6" fillId="0" borderId="12" xfId="0" applyFont="1" applyBorder="1"/>
    <xf numFmtId="166" fontId="6" fillId="0" borderId="12" xfId="0" applyNumberFormat="1" applyFont="1" applyBorder="1"/>
    <xf numFmtId="165" fontId="6" fillId="0" borderId="13" xfId="0" applyNumberFormat="1" applyFont="1" applyBorder="1"/>
    <xf numFmtId="0" fontId="7" fillId="3" borderId="9" xfId="0" applyFont="1" applyFill="1" applyBorder="1" applyAlignment="1">
      <alignment wrapText="1"/>
    </xf>
    <xf numFmtId="0" fontId="7" fillId="3" borderId="5" xfId="0" applyFont="1" applyFill="1" applyBorder="1" applyAlignment="1">
      <alignment wrapText="1"/>
    </xf>
    <xf numFmtId="0" fontId="3" fillId="3" borderId="5" xfId="0" applyFont="1" applyFill="1" applyBorder="1" applyAlignment="1">
      <alignment horizontal="center" vertical="center" wrapText="1"/>
    </xf>
    <xf numFmtId="0" fontId="7" fillId="3" borderId="1" xfId="0" applyFont="1" applyFill="1" applyBorder="1" applyAlignment="1">
      <alignment wrapText="1"/>
    </xf>
    <xf numFmtId="0" fontId="7" fillId="3" borderId="10" xfId="0" applyFont="1" applyFill="1" applyBorder="1" applyAlignment="1">
      <alignment wrapText="1"/>
    </xf>
    <xf numFmtId="0" fontId="7" fillId="3" borderId="3" xfId="0" applyFont="1" applyFill="1" applyBorder="1" applyAlignment="1">
      <alignment wrapText="1"/>
    </xf>
    <xf numFmtId="165" fontId="6" fillId="0" borderId="9" xfId="0" applyNumberFormat="1" applyFont="1" applyBorder="1"/>
    <xf numFmtId="165" fontId="6" fillId="0" borderId="16" xfId="0" applyNumberFormat="1" applyFont="1" applyBorder="1"/>
    <xf numFmtId="170" fontId="0" fillId="0" borderId="10" xfId="0" applyNumberFormat="1" applyBorder="1"/>
    <xf numFmtId="170" fontId="0" fillId="0" borderId="13" xfId="0" applyNumberFormat="1" applyBorder="1"/>
    <xf numFmtId="14" fontId="6" fillId="0" borderId="3" xfId="0" applyNumberFormat="1" applyFont="1" applyBorder="1"/>
    <xf numFmtId="14" fontId="6" fillId="0" borderId="17" xfId="0" applyNumberFormat="1" applyFont="1" applyBorder="1"/>
    <xf numFmtId="0" fontId="6" fillId="0" borderId="18" xfId="0" applyFont="1" applyBorder="1"/>
    <xf numFmtId="0" fontId="6" fillId="0" borderId="15" xfId="0" applyFont="1" applyBorder="1"/>
    <xf numFmtId="0" fontId="11" fillId="9" borderId="5" xfId="0" applyFont="1" applyFill="1" applyBorder="1"/>
    <xf numFmtId="0" fontId="11" fillId="9" borderId="5" xfId="0" applyFont="1" applyFill="1" applyBorder="1" applyAlignment="1">
      <alignment horizontal="right"/>
    </xf>
    <xf numFmtId="166" fontId="6" fillId="0" borderId="1" xfId="0" applyNumberFormat="1" applyFont="1" applyBorder="1"/>
    <xf numFmtId="166" fontId="6" fillId="0" borderId="19" xfId="0" applyNumberFormat="1" applyFont="1" applyBorder="1"/>
    <xf numFmtId="0" fontId="11" fillId="0" borderId="20" xfId="0" applyFont="1" applyFill="1" applyBorder="1" applyAlignment="1">
      <alignment horizontal="center"/>
    </xf>
    <xf numFmtId="0" fontId="7" fillId="0" borderId="9" xfId="0" applyFont="1" applyBorder="1" applyAlignment="1">
      <alignment wrapText="1"/>
    </xf>
    <xf numFmtId="166" fontId="6" fillId="0" borderId="9" xfId="0" applyNumberFormat="1" applyFont="1" applyBorder="1"/>
    <xf numFmtId="166" fontId="6" fillId="0" borderId="16" xfId="0" applyNumberFormat="1" applyFont="1" applyBorder="1"/>
    <xf numFmtId="170" fontId="6" fillId="0" borderId="12" xfId="1" applyNumberFormat="1" applyFont="1" applyBorder="1"/>
    <xf numFmtId="0" fontId="7" fillId="3" borderId="0" xfId="0" applyFont="1" applyFill="1" applyBorder="1" applyAlignment="1">
      <alignment wrapText="1"/>
    </xf>
    <xf numFmtId="9" fontId="0" fillId="0" borderId="0" xfId="4" applyFont="1"/>
    <xf numFmtId="10" fontId="0" fillId="0" borderId="0" xfId="4" applyNumberFormat="1" applyFont="1"/>
    <xf numFmtId="10" fontId="6" fillId="0" borderId="0" xfId="4" applyNumberFormat="1" applyFont="1"/>
    <xf numFmtId="0" fontId="2" fillId="8" borderId="8" xfId="0" applyFont="1" applyFill="1" applyBorder="1" applyAlignment="1">
      <alignment horizontal="center"/>
    </xf>
    <xf numFmtId="0" fontId="12" fillId="4" borderId="14" xfId="0" applyFont="1" applyFill="1" applyBorder="1" applyAlignment="1">
      <alignment horizontal="center"/>
    </xf>
    <xf numFmtId="0" fontId="12" fillId="4" borderId="11" xfId="0" applyFont="1" applyFill="1" applyBorder="1" applyAlignment="1">
      <alignment horizontal="center"/>
    </xf>
    <xf numFmtId="0" fontId="11" fillId="7" borderId="21" xfId="0" applyFont="1" applyFill="1" applyBorder="1" applyAlignment="1">
      <alignment horizontal="center"/>
    </xf>
    <xf numFmtId="0" fontId="11" fillId="7" borderId="22" xfId="0" applyFont="1" applyFill="1" applyBorder="1" applyAlignment="1">
      <alignment horizontal="center"/>
    </xf>
    <xf numFmtId="0" fontId="12" fillId="8" borderId="20" xfId="0" applyFont="1" applyFill="1" applyBorder="1" applyAlignment="1">
      <alignment horizontal="center" vertical="center"/>
    </xf>
    <xf numFmtId="0" fontId="12" fillId="8" borderId="21" xfId="0" applyFont="1" applyFill="1" applyBorder="1" applyAlignment="1">
      <alignment horizontal="center" vertical="center"/>
    </xf>
    <xf numFmtId="0" fontId="12" fillId="8" borderId="22" xfId="0" applyFont="1" applyFill="1" applyBorder="1" applyAlignment="1">
      <alignment horizontal="center" vertical="center"/>
    </xf>
    <xf numFmtId="0" fontId="12" fillId="7" borderId="20" xfId="0" applyFont="1" applyFill="1" applyBorder="1" applyAlignment="1">
      <alignment horizontal="center" vertical="center"/>
    </xf>
    <xf numFmtId="0" fontId="12" fillId="7" borderId="21" xfId="0" applyFont="1" applyFill="1" applyBorder="1" applyAlignment="1">
      <alignment horizontal="center" vertical="center"/>
    </xf>
    <xf numFmtId="0" fontId="12" fillId="7" borderId="22" xfId="0" applyFont="1" applyFill="1" applyBorder="1" applyAlignment="1">
      <alignment horizontal="center" vertical="center"/>
    </xf>
    <xf numFmtId="0" fontId="11" fillId="5" borderId="11" xfId="0" applyFont="1" applyFill="1" applyBorder="1" applyAlignment="1">
      <alignment horizontal="center"/>
    </xf>
    <xf numFmtId="0" fontId="11" fillId="6" borderId="11" xfId="0" applyFont="1" applyFill="1" applyBorder="1" applyAlignment="1">
      <alignment horizontal="center"/>
    </xf>
    <xf numFmtId="0" fontId="11" fillId="4" borderId="21" xfId="0" applyFont="1" applyFill="1" applyBorder="1" applyAlignment="1">
      <alignment horizontal="center"/>
    </xf>
    <xf numFmtId="0" fontId="18" fillId="0" borderId="0" xfId="0" applyFont="1" applyAlignment="1">
      <alignment vertical="center"/>
    </xf>
    <xf numFmtId="0" fontId="18" fillId="0" borderId="0" xfId="0" applyFont="1" applyAlignment="1">
      <alignment vertical="center" wrapText="1"/>
    </xf>
    <xf numFmtId="0" fontId="19" fillId="0" borderId="0" xfId="0" applyFont="1" applyFill="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9" fillId="0" borderId="0" xfId="0" applyFont="1" applyAlignment="1">
      <alignment vertical="center"/>
    </xf>
    <xf numFmtId="0" fontId="18" fillId="0" borderId="0" xfId="0" applyFont="1"/>
    <xf numFmtId="0" fontId="22" fillId="0" borderId="0" xfId="0" applyFont="1" applyAlignment="1">
      <alignment vertical="center"/>
    </xf>
    <xf numFmtId="0" fontId="23" fillId="0" borderId="0" xfId="0" applyFont="1" applyAlignment="1">
      <alignment vertical="center"/>
    </xf>
    <xf numFmtId="0" fontId="22" fillId="0" borderId="0" xfId="0" applyFont="1" applyAlignment="1">
      <alignment vertical="center" wrapText="1"/>
    </xf>
    <xf numFmtId="0" fontId="18" fillId="0" borderId="0" xfId="0" applyFont="1" applyAlignment="1">
      <alignment horizontal="left" vertical="top" wrapText="1"/>
    </xf>
    <xf numFmtId="0" fontId="22" fillId="0" borderId="0" xfId="0" applyFont="1"/>
    <xf numFmtId="0" fontId="18" fillId="0" borderId="0" xfId="0" applyFont="1" applyAlignment="1">
      <alignment wrapText="1"/>
    </xf>
    <xf numFmtId="0" fontId="19" fillId="0" borderId="0" xfId="0" applyFont="1" applyFill="1" applyBorder="1" applyAlignment="1">
      <alignment vertical="center"/>
    </xf>
    <xf numFmtId="0" fontId="19" fillId="0" borderId="5" xfId="0" applyFont="1" applyBorder="1" applyAlignment="1">
      <alignment vertical="center"/>
    </xf>
    <xf numFmtId="14" fontId="19" fillId="0" borderId="5" xfId="0" applyNumberFormat="1" applyFont="1" applyBorder="1" applyAlignment="1">
      <alignment horizontal="left" vertical="center"/>
    </xf>
    <xf numFmtId="0" fontId="18" fillId="0" borderId="5" xfId="0" applyFont="1" applyBorder="1" applyAlignment="1">
      <alignment horizontal="left" vertical="top"/>
    </xf>
    <xf numFmtId="0" fontId="20" fillId="0" borderId="5" xfId="0" applyFont="1" applyBorder="1" applyAlignment="1">
      <alignment horizontal="left" vertical="center"/>
    </xf>
    <xf numFmtId="14" fontId="20" fillId="0" borderId="5" xfId="0" applyNumberFormat="1" applyFont="1" applyBorder="1" applyAlignment="1">
      <alignment horizontal="left" vertical="center"/>
    </xf>
    <xf numFmtId="9" fontId="20" fillId="0" borderId="5" xfId="0" applyNumberFormat="1" applyFont="1" applyBorder="1" applyAlignment="1">
      <alignment horizontal="left" vertical="center"/>
    </xf>
    <xf numFmtId="10" fontId="20" fillId="0" borderId="5" xfId="0" applyNumberFormat="1" applyFont="1" applyBorder="1" applyAlignment="1">
      <alignment horizontal="left" vertical="center"/>
    </xf>
    <xf numFmtId="0" fontId="18" fillId="0" borderId="6" xfId="0" applyFont="1" applyBorder="1" applyAlignment="1">
      <alignment horizontal="left" vertical="top" wrapText="1"/>
    </xf>
    <xf numFmtId="0" fontId="18" fillId="0" borderId="0" xfId="0" applyFont="1" applyBorder="1" applyAlignment="1">
      <alignment horizontal="left" vertical="top" wrapText="1"/>
    </xf>
    <xf numFmtId="0" fontId="19" fillId="0" borderId="5" xfId="0" applyFont="1" applyBorder="1" applyAlignment="1">
      <alignment horizontal="left" vertical="center"/>
    </xf>
    <xf numFmtId="0" fontId="20" fillId="0" borderId="5" xfId="0" applyFont="1" applyBorder="1" applyAlignment="1">
      <alignment horizontal="left" vertical="center" wrapText="1"/>
    </xf>
    <xf numFmtId="3" fontId="20" fillId="0" borderId="5" xfId="0" applyNumberFormat="1" applyFont="1" applyBorder="1" applyAlignment="1">
      <alignment horizontal="left" vertical="center"/>
    </xf>
    <xf numFmtId="0" fontId="21" fillId="0" borderId="0" xfId="0" applyFont="1" applyAlignment="1">
      <alignment horizontal="left" vertical="center"/>
    </xf>
    <xf numFmtId="0" fontId="18" fillId="0" borderId="0" xfId="0" applyFont="1" applyAlignment="1">
      <alignment horizontal="left"/>
    </xf>
    <xf numFmtId="0" fontId="18" fillId="0" borderId="0" xfId="0" applyFont="1" applyAlignment="1">
      <alignment horizontal="left" vertical="center" wrapText="1"/>
    </xf>
    <xf numFmtId="0" fontId="18" fillId="0" borderId="0" xfId="0" applyFont="1" applyAlignment="1">
      <alignment horizontal="left" vertical="center"/>
    </xf>
    <xf numFmtId="0" fontId="23" fillId="0" borderId="0" xfId="0" applyFont="1" applyAlignment="1">
      <alignment horizontal="left" vertical="center" wrapText="1"/>
    </xf>
  </cellXfs>
  <cellStyles count="5">
    <cellStyle name="Comma" xfId="1" builtinId="3"/>
    <cellStyle name="Comma 2" xfId="3"/>
    <cellStyle name="Normal" xfId="0" builtinId="0"/>
    <cellStyle name="Normal 2" xfId="2"/>
    <cellStyle name="Percent" xfId="4"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GB" b="1"/>
              <a:t>Results Summary</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Results!$B$3</c:f>
              <c:strCache>
                <c:ptCount val="1"/>
                <c:pt idx="0">
                  <c:v>Total Profits</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strRef>
              <c:f>Results!$C$2:$G$2</c:f>
              <c:strCache>
                <c:ptCount val="5"/>
                <c:pt idx="0">
                  <c:v>Original</c:v>
                </c:pt>
                <c:pt idx="1">
                  <c:v>Baseline</c:v>
                </c:pt>
                <c:pt idx="2">
                  <c:v>Scenario 1</c:v>
                </c:pt>
                <c:pt idx="3">
                  <c:v>Scenario 2</c:v>
                </c:pt>
                <c:pt idx="4">
                  <c:v>Scenario 3</c:v>
                </c:pt>
              </c:strCache>
            </c:strRef>
          </c:cat>
          <c:val>
            <c:numRef>
              <c:f>Results!$C$3:$G$3</c:f>
              <c:numCache>
                <c:formatCode>_(* #,##0_);_(* \(#,##0\);_(* "-"??_);_(@_)</c:formatCode>
                <c:ptCount val="5"/>
                <c:pt idx="0">
                  <c:v>25000</c:v>
                </c:pt>
                <c:pt idx="1">
                  <c:v>5104.7444168669972</c:v>
                </c:pt>
                <c:pt idx="2">
                  <c:v>9517.7728030322814</c:v>
                </c:pt>
                <c:pt idx="3">
                  <c:v>17047.849605367162</c:v>
                </c:pt>
                <c:pt idx="4">
                  <c:v>5057.2102634180192</c:v>
                </c:pt>
              </c:numCache>
            </c:numRef>
          </c:val>
          <c:extLst xmlns:c16r2="http://schemas.microsoft.com/office/drawing/2015/06/chart">
            <c:ext xmlns:c16="http://schemas.microsoft.com/office/drawing/2014/chart" uri="{C3380CC4-5D6E-409C-BE32-E72D297353CC}">
              <c16:uniqueId val="{00000000-2430-0844-A0B9-C0E729E82C90}"/>
            </c:ext>
          </c:extLst>
        </c:ser>
        <c:ser>
          <c:idx val="1"/>
          <c:order val="1"/>
          <c:tx>
            <c:strRef>
              <c:f>Results!$B$4</c:f>
              <c:strCache>
                <c:ptCount val="1"/>
                <c:pt idx="0">
                  <c:v>Bonus for all policies</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strRef>
              <c:f>Results!$C$2:$G$2</c:f>
              <c:strCache>
                <c:ptCount val="5"/>
                <c:pt idx="0">
                  <c:v>Original</c:v>
                </c:pt>
                <c:pt idx="1">
                  <c:v>Baseline</c:v>
                </c:pt>
                <c:pt idx="2">
                  <c:v>Scenario 1</c:v>
                </c:pt>
                <c:pt idx="3">
                  <c:v>Scenario 2</c:v>
                </c:pt>
                <c:pt idx="4">
                  <c:v>Scenario 3</c:v>
                </c:pt>
              </c:strCache>
            </c:strRef>
          </c:cat>
          <c:val>
            <c:numRef>
              <c:f>Results!$C$4:$G$4</c:f>
              <c:numCache>
                <c:formatCode>_(* #,##0_);_(* \(#,##0\);_(* "-"??_);_(@_)</c:formatCode>
                <c:ptCount val="5"/>
                <c:pt idx="1">
                  <c:v>179512.46997578879</c:v>
                </c:pt>
                <c:pt idx="2">
                  <c:v>179512.46997578879</c:v>
                </c:pt>
                <c:pt idx="3">
                  <c:v>167519.4337872887</c:v>
                </c:pt>
                <c:pt idx="4">
                  <c:v>179512.46997578879</c:v>
                </c:pt>
              </c:numCache>
            </c:numRef>
          </c:val>
          <c:extLst xmlns:c16r2="http://schemas.microsoft.com/office/drawing/2015/06/chart">
            <c:ext xmlns:c16="http://schemas.microsoft.com/office/drawing/2014/chart" uri="{C3380CC4-5D6E-409C-BE32-E72D297353CC}">
              <c16:uniqueId val="{00000001-2430-0844-A0B9-C0E729E82C90}"/>
            </c:ext>
          </c:extLst>
        </c:ser>
        <c:dLbls>
          <c:showLegendKey val="0"/>
          <c:showVal val="0"/>
          <c:showCatName val="0"/>
          <c:showSerName val="0"/>
          <c:showPercent val="0"/>
          <c:showBubbleSize val="0"/>
        </c:dLbls>
        <c:gapWidth val="150"/>
        <c:axId val="1840069968"/>
        <c:axId val="1840066704"/>
      </c:barChart>
      <c:catAx>
        <c:axId val="1840069968"/>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Scenarios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840066704"/>
        <c:crosses val="autoZero"/>
        <c:auto val="1"/>
        <c:lblAlgn val="ctr"/>
        <c:lblOffset val="100"/>
        <c:noMultiLvlLbl val="0"/>
      </c:catAx>
      <c:valAx>
        <c:axId val="1840066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Amount in inr</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8400699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101600</xdr:rowOff>
    </xdr:from>
    <xdr:to>
      <xdr:col>11</xdr:col>
      <xdr:colOff>76200</xdr:colOff>
      <xdr:row>25</xdr:row>
      <xdr:rowOff>50800</xdr:rowOff>
    </xdr:to>
    <xdr:graphicFrame macro="">
      <xdr:nvGraphicFramePr>
        <xdr:cNvPr id="2" name="Chart 1">
          <a:extLst>
            <a:ext uri="{FF2B5EF4-FFF2-40B4-BE49-F238E27FC236}">
              <a16:creationId xmlns:a16="http://schemas.microsoft.com/office/drawing/2014/main" xmlns="" id="{825CEE16-CA24-3E4D-AF7C-5E33A70458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kanksha/Downloads/IandF_SubjCP2-1_09_2020_0%20(1)/220_CP2-P1_Model%20solution%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tabSelected="1" workbookViewId="0">
      <selection activeCell="A81" sqref="A81:XFD81"/>
    </sheetView>
  </sheetViews>
  <sheetFormatPr defaultRowHeight="15.75" x14ac:dyDescent="0.25"/>
  <cols>
    <col min="1" max="1" width="44.625" style="112" customWidth="1"/>
    <col min="2" max="2" width="30.875" style="112" customWidth="1"/>
    <col min="3" max="3" width="34.75" style="112" customWidth="1"/>
    <col min="4" max="4" width="12.125" style="112" customWidth="1"/>
    <col min="5" max="16384" width="9" style="112"/>
  </cols>
  <sheetData>
    <row r="1" spans="1:4" x14ac:dyDescent="0.25">
      <c r="A1" s="115" t="s">
        <v>82</v>
      </c>
    </row>
    <row r="2" spans="1:4" ht="36" customHeight="1" x14ac:dyDescent="0.25">
      <c r="A2" s="127" t="s">
        <v>83</v>
      </c>
      <c r="B2" s="128"/>
      <c r="C2" s="128"/>
      <c r="D2" s="128"/>
    </row>
    <row r="4" spans="1:4" x14ac:dyDescent="0.25">
      <c r="A4" s="117" t="s">
        <v>84</v>
      </c>
    </row>
    <row r="6" spans="1:4" ht="210.75" customHeight="1" x14ac:dyDescent="0.25">
      <c r="A6" s="128" t="s">
        <v>130</v>
      </c>
      <c r="B6" s="128"/>
      <c r="C6" s="128"/>
      <c r="D6" s="128"/>
    </row>
    <row r="8" spans="1:4" ht="51.75" customHeight="1" x14ac:dyDescent="0.25">
      <c r="A8" s="110" t="s">
        <v>129</v>
      </c>
      <c r="B8" s="110"/>
      <c r="C8" s="110"/>
      <c r="D8" s="110"/>
    </row>
    <row r="9" spans="1:4" ht="15" customHeight="1" x14ac:dyDescent="0.25">
      <c r="A9" s="116"/>
      <c r="B9" s="116"/>
      <c r="C9" s="116"/>
      <c r="D9" s="116"/>
    </row>
    <row r="10" spans="1:4" x14ac:dyDescent="0.25">
      <c r="A10" s="112" t="s">
        <v>85</v>
      </c>
    </row>
    <row r="12" spans="1:4" x14ac:dyDescent="0.25">
      <c r="A12" s="129" t="s">
        <v>30</v>
      </c>
      <c r="B12" s="129" t="s">
        <v>60</v>
      </c>
    </row>
    <row r="13" spans="1:4" x14ac:dyDescent="0.25">
      <c r="A13" s="129" t="s">
        <v>31</v>
      </c>
      <c r="B13" s="123" t="s">
        <v>32</v>
      </c>
    </row>
    <row r="14" spans="1:4" ht="31.5" x14ac:dyDescent="0.25">
      <c r="A14" s="129" t="s">
        <v>61</v>
      </c>
      <c r="B14" s="130" t="s">
        <v>66</v>
      </c>
    </row>
    <row r="15" spans="1:4" x14ac:dyDescent="0.25">
      <c r="A15" s="129" t="s">
        <v>51</v>
      </c>
      <c r="B15" s="131">
        <v>25000</v>
      </c>
    </row>
    <row r="17" spans="1:4" ht="52.5" customHeight="1" x14ac:dyDescent="0.25">
      <c r="A17" s="108" t="s">
        <v>86</v>
      </c>
      <c r="B17" s="108"/>
      <c r="C17" s="108"/>
      <c r="D17" s="108"/>
    </row>
    <row r="19" spans="1:4" x14ac:dyDescent="0.25">
      <c r="A19" s="117" t="s">
        <v>87</v>
      </c>
    </row>
    <row r="20" spans="1:4" ht="15.75" customHeight="1" x14ac:dyDescent="0.25">
      <c r="A20" s="117" t="s">
        <v>88</v>
      </c>
    </row>
    <row r="22" spans="1:4" s="118" customFormat="1" ht="49.5" customHeight="1" x14ac:dyDescent="0.25">
      <c r="A22" s="110" t="s">
        <v>89</v>
      </c>
      <c r="B22" s="110"/>
      <c r="C22" s="110"/>
      <c r="D22" s="110"/>
    </row>
    <row r="24" spans="1:4" x14ac:dyDescent="0.25">
      <c r="A24" s="117" t="s">
        <v>90</v>
      </c>
    </row>
    <row r="26" spans="1:4" ht="15.75" customHeight="1" x14ac:dyDescent="0.25">
      <c r="A26" s="112" t="s">
        <v>91</v>
      </c>
    </row>
    <row r="28" spans="1:4" x14ac:dyDescent="0.25">
      <c r="A28" s="120" t="s">
        <v>13</v>
      </c>
      <c r="B28" s="121">
        <v>44196</v>
      </c>
    </row>
    <row r="29" spans="1:4" x14ac:dyDescent="0.25">
      <c r="A29" s="120" t="s">
        <v>14</v>
      </c>
      <c r="B29" s="122"/>
    </row>
    <row r="30" spans="1:4" x14ac:dyDescent="0.25">
      <c r="A30" s="120" t="s">
        <v>15</v>
      </c>
      <c r="B30" s="123">
        <v>200</v>
      </c>
    </row>
    <row r="31" spans="1:4" x14ac:dyDescent="0.25">
      <c r="A31" s="120" t="s">
        <v>16</v>
      </c>
      <c r="B31" s="123">
        <v>10000</v>
      </c>
    </row>
    <row r="32" spans="1:4" x14ac:dyDescent="0.25">
      <c r="A32" s="120" t="s">
        <v>17</v>
      </c>
      <c r="B32" s="124">
        <v>40179</v>
      </c>
    </row>
    <row r="33" spans="1:4" x14ac:dyDescent="0.25">
      <c r="A33" s="120" t="s">
        <v>18</v>
      </c>
      <c r="B33" s="124">
        <v>44196</v>
      </c>
    </row>
    <row r="34" spans="1:4" x14ac:dyDescent="0.25">
      <c r="A34" s="120" t="s">
        <v>33</v>
      </c>
      <c r="B34" s="123">
        <v>1</v>
      </c>
    </row>
    <row r="35" spans="1:4" x14ac:dyDescent="0.25">
      <c r="A35" s="120" t="s">
        <v>34</v>
      </c>
      <c r="B35" s="123">
        <v>30</v>
      </c>
    </row>
    <row r="36" spans="1:4" x14ac:dyDescent="0.25">
      <c r="A36" s="120" t="s">
        <v>48</v>
      </c>
      <c r="B36" s="125">
        <v>1.5</v>
      </c>
    </row>
    <row r="37" spans="1:4" x14ac:dyDescent="0.25">
      <c r="A37" s="120" t="s">
        <v>47</v>
      </c>
      <c r="B37" s="125">
        <v>0.9</v>
      </c>
    </row>
    <row r="38" spans="1:4" x14ac:dyDescent="0.25">
      <c r="A38" s="120" t="s">
        <v>64</v>
      </c>
      <c r="B38" s="126">
        <v>2.5000000000000001E-2</v>
      </c>
    </row>
    <row r="40" spans="1:4" x14ac:dyDescent="0.25">
      <c r="A40" s="119" t="s">
        <v>92</v>
      </c>
    </row>
    <row r="41" spans="1:4" ht="15.75" customHeight="1" x14ac:dyDescent="0.25">
      <c r="A41" s="132" t="s">
        <v>93</v>
      </c>
      <c r="B41" s="132"/>
      <c r="C41" s="132"/>
    </row>
    <row r="43" spans="1:4" ht="15.75" customHeight="1" x14ac:dyDescent="0.25">
      <c r="A43" s="133" t="s">
        <v>94</v>
      </c>
      <c r="B43" s="133"/>
      <c r="C43" s="133"/>
      <c r="D43" s="133"/>
    </row>
    <row r="45" spans="1:4" x14ac:dyDescent="0.25">
      <c r="A45" s="106" t="s">
        <v>95</v>
      </c>
    </row>
    <row r="47" spans="1:4" ht="68.25" customHeight="1" x14ac:dyDescent="0.25">
      <c r="A47" s="110" t="s">
        <v>96</v>
      </c>
      <c r="B47" s="110"/>
      <c r="C47" s="110"/>
      <c r="D47" s="110"/>
    </row>
    <row r="49" spans="1:4" ht="51.75" customHeight="1" x14ac:dyDescent="0.25">
      <c r="A49" s="110" t="s">
        <v>97</v>
      </c>
      <c r="B49" s="110"/>
      <c r="C49" s="110"/>
      <c r="D49" s="110"/>
    </row>
    <row r="50" spans="1:4" x14ac:dyDescent="0.25">
      <c r="A50" s="118"/>
      <c r="B50" s="118"/>
      <c r="C50" s="118"/>
      <c r="D50" s="118"/>
    </row>
    <row r="51" spans="1:4" ht="37.5" customHeight="1" x14ac:dyDescent="0.25">
      <c r="A51" s="110" t="s">
        <v>98</v>
      </c>
      <c r="B51" s="110"/>
      <c r="C51" s="110"/>
      <c r="D51" s="110"/>
    </row>
    <row r="52" spans="1:4" x14ac:dyDescent="0.25">
      <c r="A52" s="116"/>
      <c r="B52" s="116"/>
      <c r="C52" s="118"/>
      <c r="D52" s="118"/>
    </row>
    <row r="53" spans="1:4" ht="36.75" customHeight="1" x14ac:dyDescent="0.25">
      <c r="A53" s="110" t="s">
        <v>99</v>
      </c>
      <c r="B53" s="110"/>
      <c r="C53" s="110"/>
      <c r="D53" s="110"/>
    </row>
    <row r="54" spans="1:4" x14ac:dyDescent="0.25">
      <c r="A54" s="118"/>
      <c r="B54" s="118"/>
      <c r="C54" s="118"/>
      <c r="D54" s="118"/>
    </row>
    <row r="55" spans="1:4" ht="36" customHeight="1" x14ac:dyDescent="0.25">
      <c r="A55" s="110" t="s">
        <v>100</v>
      </c>
      <c r="B55" s="110"/>
      <c r="C55" s="110"/>
      <c r="D55" s="110"/>
    </row>
    <row r="57" spans="1:4" x14ac:dyDescent="0.25">
      <c r="A57" s="111" t="s">
        <v>101</v>
      </c>
    </row>
    <row r="59" spans="1:4" ht="15.75" customHeight="1" x14ac:dyDescent="0.25">
      <c r="A59" s="111" t="s">
        <v>102</v>
      </c>
    </row>
    <row r="61" spans="1:4" ht="20.100000000000001" customHeight="1" x14ac:dyDescent="0.25">
      <c r="A61" s="109" t="s">
        <v>131</v>
      </c>
      <c r="B61" s="109"/>
      <c r="C61" s="109"/>
      <c r="D61" s="109"/>
    </row>
    <row r="62" spans="1:4" ht="20.100000000000001" customHeight="1" x14ac:dyDescent="0.25">
      <c r="A62" s="109" t="s">
        <v>132</v>
      </c>
      <c r="B62" s="109"/>
      <c r="C62" s="109"/>
      <c r="D62" s="109"/>
    </row>
    <row r="63" spans="1:4" ht="36" customHeight="1" x14ac:dyDescent="0.25">
      <c r="A63" s="109" t="s">
        <v>133</v>
      </c>
      <c r="B63" s="109"/>
      <c r="C63" s="109"/>
      <c r="D63" s="109"/>
    </row>
    <row r="64" spans="1:4" ht="20.100000000000001" customHeight="1" x14ac:dyDescent="0.25">
      <c r="A64" s="109" t="s">
        <v>134</v>
      </c>
      <c r="B64" s="109"/>
      <c r="C64" s="109"/>
      <c r="D64" s="109"/>
    </row>
    <row r="65" spans="1:4" ht="20.100000000000001" customHeight="1" x14ac:dyDescent="0.25">
      <c r="A65" s="109" t="s">
        <v>135</v>
      </c>
      <c r="B65" s="109"/>
      <c r="C65" s="109"/>
      <c r="D65" s="109"/>
    </row>
    <row r="66" spans="1:4" ht="20.100000000000001" customHeight="1" x14ac:dyDescent="0.25">
      <c r="A66" s="109" t="s">
        <v>136</v>
      </c>
      <c r="B66" s="109"/>
      <c r="C66" s="109"/>
      <c r="D66" s="109"/>
    </row>
    <row r="67" spans="1:4" ht="20.100000000000001" customHeight="1" x14ac:dyDescent="0.25">
      <c r="A67" s="109" t="s">
        <v>137</v>
      </c>
      <c r="B67" s="109"/>
      <c r="C67" s="109"/>
      <c r="D67" s="109"/>
    </row>
    <row r="68" spans="1:4" ht="20.100000000000001" customHeight="1" x14ac:dyDescent="0.25">
      <c r="A68" s="109" t="s">
        <v>138</v>
      </c>
      <c r="B68" s="109"/>
      <c r="C68" s="109"/>
      <c r="D68" s="109"/>
    </row>
    <row r="69" spans="1:4" ht="29.25" customHeight="1" x14ac:dyDescent="0.25">
      <c r="A69" s="109" t="s">
        <v>139</v>
      </c>
      <c r="B69" s="109"/>
      <c r="C69" s="109"/>
      <c r="D69" s="109"/>
    </row>
    <row r="70" spans="1:4" ht="29.25" customHeight="1" x14ac:dyDescent="0.25">
      <c r="A70" s="109" t="s">
        <v>140</v>
      </c>
      <c r="B70" s="109"/>
      <c r="C70" s="109"/>
      <c r="D70" s="109"/>
    </row>
    <row r="71" spans="1:4" ht="20.100000000000001" customHeight="1" x14ac:dyDescent="0.25">
      <c r="A71" s="109" t="s">
        <v>142</v>
      </c>
      <c r="B71" s="109"/>
      <c r="C71" s="109"/>
      <c r="D71" s="109"/>
    </row>
    <row r="72" spans="1:4" ht="20.100000000000001" customHeight="1" x14ac:dyDescent="0.25">
      <c r="A72" s="109" t="s">
        <v>141</v>
      </c>
      <c r="B72" s="109"/>
      <c r="C72" s="109"/>
      <c r="D72" s="109"/>
    </row>
    <row r="73" spans="1:4" ht="20.100000000000001" customHeight="1" x14ac:dyDescent="0.25">
      <c r="A73" s="109" t="s">
        <v>143</v>
      </c>
      <c r="B73" s="109"/>
      <c r="C73" s="109"/>
      <c r="D73" s="109"/>
    </row>
    <row r="74" spans="1:4" ht="20.100000000000001" customHeight="1" x14ac:dyDescent="0.25">
      <c r="A74" s="109" t="s">
        <v>144</v>
      </c>
      <c r="B74" s="109"/>
      <c r="C74" s="109"/>
      <c r="D74" s="109"/>
    </row>
    <row r="75" spans="1:4" ht="27.75" customHeight="1" x14ac:dyDescent="0.25">
      <c r="A75" s="109" t="s">
        <v>145</v>
      </c>
      <c r="B75" s="109"/>
      <c r="C75" s="109"/>
      <c r="D75" s="109"/>
    </row>
    <row r="77" spans="1:4" x14ac:dyDescent="0.25">
      <c r="A77" s="113" t="s">
        <v>103</v>
      </c>
    </row>
    <row r="78" spans="1:4" ht="15.75" customHeight="1" x14ac:dyDescent="0.25">
      <c r="A78" s="114" t="s">
        <v>104</v>
      </c>
    </row>
    <row r="80" spans="1:4" x14ac:dyDescent="0.25">
      <c r="A80" s="109" t="s">
        <v>105</v>
      </c>
      <c r="B80" s="109"/>
      <c r="C80" s="109"/>
      <c r="D80" s="109"/>
    </row>
    <row r="81" spans="1:4" x14ac:dyDescent="0.25">
      <c r="A81" s="118"/>
      <c r="B81" s="118"/>
      <c r="C81" s="118"/>
      <c r="D81" s="118"/>
    </row>
    <row r="82" spans="1:4" x14ac:dyDescent="0.25">
      <c r="A82" s="109" t="s">
        <v>106</v>
      </c>
      <c r="B82" s="109"/>
      <c r="C82" s="109"/>
      <c r="D82" s="109"/>
    </row>
    <row r="83" spans="1:4" x14ac:dyDescent="0.25">
      <c r="A83" s="118"/>
      <c r="B83" s="118"/>
      <c r="C83" s="118"/>
      <c r="D83" s="118"/>
    </row>
    <row r="84" spans="1:4" ht="43.5" customHeight="1" x14ac:dyDescent="0.25">
      <c r="A84" s="109" t="s">
        <v>107</v>
      </c>
      <c r="B84" s="109"/>
      <c r="C84" s="109"/>
      <c r="D84" s="109"/>
    </row>
    <row r="85" spans="1:4" x14ac:dyDescent="0.25">
      <c r="A85" s="118"/>
      <c r="B85" s="118"/>
      <c r="C85" s="118"/>
      <c r="D85" s="118"/>
    </row>
    <row r="86" spans="1:4" ht="46.5" customHeight="1" x14ac:dyDescent="0.25">
      <c r="A86" s="109" t="s">
        <v>108</v>
      </c>
      <c r="B86" s="109"/>
      <c r="C86" s="109"/>
      <c r="D86" s="109"/>
    </row>
    <row r="87" spans="1:4" x14ac:dyDescent="0.25">
      <c r="A87" s="107"/>
      <c r="B87" s="118"/>
      <c r="C87" s="118"/>
      <c r="D87" s="118"/>
    </row>
    <row r="88" spans="1:4" ht="48" customHeight="1" x14ac:dyDescent="0.25">
      <c r="A88" s="109" t="s">
        <v>109</v>
      </c>
      <c r="B88" s="109"/>
      <c r="C88" s="109"/>
      <c r="D88" s="109"/>
    </row>
    <row r="89" spans="1:4" x14ac:dyDescent="0.25">
      <c r="A89" s="118"/>
      <c r="B89" s="118"/>
      <c r="C89" s="118"/>
      <c r="D89" s="118"/>
    </row>
    <row r="90" spans="1:4" ht="15.75" customHeight="1" x14ac:dyDescent="0.25">
      <c r="A90" s="109" t="s">
        <v>110</v>
      </c>
      <c r="B90" s="109"/>
      <c r="C90" s="109"/>
      <c r="D90" s="109"/>
    </row>
    <row r="91" spans="1:4" x14ac:dyDescent="0.25">
      <c r="A91" s="107"/>
      <c r="B91" s="118"/>
      <c r="C91" s="118"/>
      <c r="D91" s="118"/>
    </row>
    <row r="92" spans="1:4" ht="15.75" customHeight="1" x14ac:dyDescent="0.25">
      <c r="A92" s="109" t="s">
        <v>111</v>
      </c>
      <c r="B92" s="109"/>
      <c r="C92" s="109"/>
      <c r="D92" s="109"/>
    </row>
    <row r="94" spans="1:4" x14ac:dyDescent="0.25">
      <c r="A94" s="113" t="s">
        <v>112</v>
      </c>
    </row>
    <row r="96" spans="1:4" ht="15.75" customHeight="1" x14ac:dyDescent="0.25">
      <c r="A96" s="109" t="s">
        <v>113</v>
      </c>
      <c r="B96" s="109"/>
      <c r="C96" s="109"/>
      <c r="D96" s="109"/>
    </row>
    <row r="97" spans="1:4" x14ac:dyDescent="0.25">
      <c r="A97" s="118"/>
      <c r="B97" s="118"/>
      <c r="C97" s="118"/>
      <c r="D97" s="118"/>
    </row>
    <row r="98" spans="1:4" ht="15.75" customHeight="1" x14ac:dyDescent="0.25">
      <c r="A98" s="109" t="s">
        <v>114</v>
      </c>
      <c r="B98" s="109"/>
      <c r="C98" s="109"/>
      <c r="D98" s="109"/>
    </row>
    <row r="99" spans="1:4" x14ac:dyDescent="0.25">
      <c r="A99" s="118"/>
      <c r="B99" s="118"/>
      <c r="C99" s="118"/>
      <c r="D99" s="118"/>
    </row>
    <row r="100" spans="1:4" ht="36.75" customHeight="1" x14ac:dyDescent="0.25">
      <c r="A100" s="109" t="s">
        <v>115</v>
      </c>
      <c r="B100" s="109"/>
      <c r="C100" s="109"/>
      <c r="D100" s="109"/>
    </row>
    <row r="101" spans="1:4" x14ac:dyDescent="0.25">
      <c r="A101" s="118"/>
      <c r="B101" s="118"/>
      <c r="C101" s="118"/>
      <c r="D101" s="118"/>
    </row>
    <row r="102" spans="1:4" ht="33.75" customHeight="1" x14ac:dyDescent="0.25">
      <c r="A102" s="109" t="s">
        <v>116</v>
      </c>
      <c r="B102" s="109"/>
      <c r="C102" s="109"/>
      <c r="D102" s="109"/>
    </row>
    <row r="103" spans="1:4" x14ac:dyDescent="0.25">
      <c r="A103" s="118"/>
      <c r="B103" s="118"/>
      <c r="C103" s="118"/>
      <c r="D103" s="118"/>
    </row>
    <row r="104" spans="1:4" ht="36" customHeight="1" x14ac:dyDescent="0.25">
      <c r="A104" s="109" t="s">
        <v>117</v>
      </c>
      <c r="B104" s="109"/>
      <c r="C104" s="109"/>
      <c r="D104" s="109"/>
    </row>
    <row r="105" spans="1:4" x14ac:dyDescent="0.25">
      <c r="A105" s="118"/>
      <c r="B105" s="118"/>
      <c r="C105" s="118"/>
      <c r="D105" s="118"/>
    </row>
    <row r="106" spans="1:4" x14ac:dyDescent="0.25">
      <c r="A106" s="115" t="s">
        <v>118</v>
      </c>
      <c r="B106" s="118"/>
      <c r="C106" s="118"/>
      <c r="D106" s="118"/>
    </row>
    <row r="107" spans="1:4" ht="38.25" customHeight="1" x14ac:dyDescent="0.25">
      <c r="A107" s="109" t="s">
        <v>119</v>
      </c>
      <c r="B107" s="109"/>
      <c r="C107" s="109"/>
      <c r="D107" s="109"/>
    </row>
    <row r="108" spans="1:4" x14ac:dyDescent="0.25">
      <c r="A108" s="134"/>
      <c r="B108" s="118"/>
      <c r="C108" s="118"/>
      <c r="D108" s="118"/>
    </row>
    <row r="109" spans="1:4" x14ac:dyDescent="0.25">
      <c r="A109" s="113" t="s">
        <v>120</v>
      </c>
    </row>
    <row r="110" spans="1:4" ht="39.75" customHeight="1" x14ac:dyDescent="0.25">
      <c r="A110" s="109" t="s">
        <v>121</v>
      </c>
      <c r="B110" s="109"/>
      <c r="C110" s="109"/>
      <c r="D110" s="109"/>
    </row>
    <row r="112" spans="1:4" x14ac:dyDescent="0.25">
      <c r="A112" s="113" t="s">
        <v>122</v>
      </c>
    </row>
    <row r="113" spans="1:4" ht="49.5" customHeight="1" x14ac:dyDescent="0.25">
      <c r="A113" s="109" t="s">
        <v>123</v>
      </c>
      <c r="B113" s="109"/>
      <c r="C113" s="109"/>
      <c r="D113" s="109"/>
    </row>
    <row r="114" spans="1:4" x14ac:dyDescent="0.25">
      <c r="A114" s="135"/>
      <c r="B114" s="135"/>
      <c r="C114" s="135"/>
      <c r="D114" s="135"/>
    </row>
    <row r="115" spans="1:4" x14ac:dyDescent="0.25">
      <c r="A115" s="113" t="s">
        <v>124</v>
      </c>
    </row>
    <row r="116" spans="1:4" x14ac:dyDescent="0.25">
      <c r="A116" s="113" t="s">
        <v>125</v>
      </c>
    </row>
    <row r="117" spans="1:4" ht="54.75" customHeight="1" x14ac:dyDescent="0.25">
      <c r="A117" s="109" t="s">
        <v>126</v>
      </c>
      <c r="B117" s="109"/>
      <c r="C117" s="109"/>
      <c r="D117" s="109"/>
    </row>
    <row r="119" spans="1:4" ht="42" customHeight="1" x14ac:dyDescent="0.25">
      <c r="A119" s="136" t="s">
        <v>127</v>
      </c>
      <c r="B119" s="136"/>
      <c r="C119" s="136"/>
      <c r="D119" s="136"/>
    </row>
    <row r="121" spans="1:4" ht="45" customHeight="1" x14ac:dyDescent="0.25">
      <c r="A121" s="110" t="s">
        <v>128</v>
      </c>
      <c r="B121" s="110"/>
      <c r="C121" s="110"/>
      <c r="D121" s="110"/>
    </row>
  </sheetData>
  <mergeCells count="46">
    <mergeCell ref="A121:D121"/>
    <mergeCell ref="A119:D119"/>
    <mergeCell ref="A69:D69"/>
    <mergeCell ref="A70:D70"/>
    <mergeCell ref="A71:D71"/>
    <mergeCell ref="A72:D72"/>
    <mergeCell ref="A73:D73"/>
    <mergeCell ref="A74:D74"/>
    <mergeCell ref="A6:D6"/>
    <mergeCell ref="A2:D2"/>
    <mergeCell ref="A8:D8"/>
    <mergeCell ref="A22:D22"/>
    <mergeCell ref="A17:D17"/>
    <mergeCell ref="A114:D114"/>
    <mergeCell ref="A113:D113"/>
    <mergeCell ref="A117:D117"/>
    <mergeCell ref="A110:D110"/>
    <mergeCell ref="A107:D107"/>
    <mergeCell ref="A100:D100"/>
    <mergeCell ref="A102:D102"/>
    <mergeCell ref="A104:D104"/>
    <mergeCell ref="A96:D96"/>
    <mergeCell ref="A98:D98"/>
    <mergeCell ref="A88:D88"/>
    <mergeCell ref="A90:D90"/>
    <mergeCell ref="A92:D92"/>
    <mergeCell ref="A82:D82"/>
    <mergeCell ref="A84:D84"/>
    <mergeCell ref="A86:D86"/>
    <mergeCell ref="A80:D80"/>
    <mergeCell ref="A75:D75"/>
    <mergeCell ref="A65:D65"/>
    <mergeCell ref="A66:D66"/>
    <mergeCell ref="A67:D67"/>
    <mergeCell ref="A68:D68"/>
    <mergeCell ref="A61:D61"/>
    <mergeCell ref="A62:D62"/>
    <mergeCell ref="A63:D63"/>
    <mergeCell ref="A64:D64"/>
    <mergeCell ref="A53:D53"/>
    <mergeCell ref="A55:D55"/>
    <mergeCell ref="A47:D47"/>
    <mergeCell ref="A49:D49"/>
    <mergeCell ref="A51:D51"/>
    <mergeCell ref="A41:C41"/>
    <mergeCell ref="A43:D4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workbookViewId="0"/>
  </sheetViews>
  <sheetFormatPr defaultColWidth="11" defaultRowHeight="15.75" x14ac:dyDescent="0.25"/>
  <cols>
    <col min="1" max="1" width="10.875" customWidth="1"/>
    <col min="2" max="2" width="29" customWidth="1"/>
    <col min="3" max="3" width="11.5" bestFit="1" customWidth="1"/>
    <col min="5" max="5" width="11.5" bestFit="1" customWidth="1"/>
    <col min="6" max="6" width="26" customWidth="1"/>
    <col min="8" max="8" width="19.875" customWidth="1"/>
  </cols>
  <sheetData>
    <row r="1" spans="1:9" x14ac:dyDescent="0.25">
      <c r="A1" s="1" t="s">
        <v>6</v>
      </c>
    </row>
    <row r="2" spans="1:9" x14ac:dyDescent="0.25">
      <c r="A2" t="s">
        <v>0</v>
      </c>
    </row>
    <row r="4" spans="1:9" x14ac:dyDescent="0.25">
      <c r="A4" s="1" t="s">
        <v>29</v>
      </c>
    </row>
    <row r="6" spans="1:9" x14ac:dyDescent="0.25">
      <c r="B6" s="1" t="s">
        <v>30</v>
      </c>
      <c r="C6" s="29" t="s">
        <v>60</v>
      </c>
    </row>
    <row r="7" spans="1:9" x14ac:dyDescent="0.25">
      <c r="B7" s="1" t="s">
        <v>31</v>
      </c>
      <c r="C7" s="29" t="s">
        <v>32</v>
      </c>
    </row>
    <row r="8" spans="1:9" x14ac:dyDescent="0.25">
      <c r="B8" s="1" t="s">
        <v>61</v>
      </c>
      <c r="C8" s="29" t="s">
        <v>66</v>
      </c>
    </row>
    <row r="9" spans="1:9" x14ac:dyDescent="0.25">
      <c r="B9" s="1" t="s">
        <v>51</v>
      </c>
      <c r="C9" s="27">
        <v>25000</v>
      </c>
    </row>
    <row r="11" spans="1:9" x14ac:dyDescent="0.25">
      <c r="A11" s="2" t="s">
        <v>28</v>
      </c>
      <c r="B11" s="2" t="s">
        <v>2</v>
      </c>
      <c r="C11" s="2" t="s">
        <v>3</v>
      </c>
      <c r="D11" s="2" t="s">
        <v>4</v>
      </c>
      <c r="E11" s="2" t="s">
        <v>5</v>
      </c>
      <c r="F11" s="2" t="s">
        <v>52</v>
      </c>
      <c r="H11" s="2" t="s">
        <v>57</v>
      </c>
    </row>
    <row r="12" spans="1:9" x14ac:dyDescent="0.25">
      <c r="A12">
        <v>1</v>
      </c>
      <c r="B12" s="3">
        <v>40179</v>
      </c>
      <c r="C12" s="4">
        <v>980</v>
      </c>
      <c r="D12">
        <v>18</v>
      </c>
      <c r="E12" s="27">
        <v>1770.2474999999997</v>
      </c>
      <c r="F12" t="s">
        <v>40</v>
      </c>
      <c r="G12" s="32">
        <f>COUNTIF(F12:F91,"Y")</f>
        <v>59</v>
      </c>
      <c r="H12" s="37" t="s">
        <v>40</v>
      </c>
      <c r="I12" s="32">
        <f>COUNTIF(H12:H91,"Y")</f>
        <v>61</v>
      </c>
    </row>
    <row r="13" spans="1:9" x14ac:dyDescent="0.25">
      <c r="A13">
        <f>A12+1</f>
        <v>2</v>
      </c>
      <c r="B13" s="3">
        <v>40179</v>
      </c>
      <c r="C13" s="4">
        <v>1494</v>
      </c>
      <c r="D13">
        <v>12</v>
      </c>
      <c r="E13" s="27">
        <v>1788.6224999999997</v>
      </c>
      <c r="F13" t="s">
        <v>41</v>
      </c>
      <c r="G13" s="32"/>
      <c r="H13" s="37" t="s">
        <v>40</v>
      </c>
    </row>
    <row r="14" spans="1:9" x14ac:dyDescent="0.25">
      <c r="A14">
        <f t="shared" ref="A14:A77" si="0">A13+1</f>
        <v>3</v>
      </c>
      <c r="B14" s="3">
        <v>40179</v>
      </c>
      <c r="C14" s="4">
        <v>4205</v>
      </c>
      <c r="D14">
        <v>27</v>
      </c>
      <c r="E14" s="27">
        <v>13593.457499999999</v>
      </c>
      <c r="F14" t="s">
        <v>40</v>
      </c>
      <c r="G14" s="32"/>
      <c r="H14" s="37" t="s">
        <v>40</v>
      </c>
    </row>
    <row r="15" spans="1:9" x14ac:dyDescent="0.25">
      <c r="A15">
        <f t="shared" si="0"/>
        <v>4</v>
      </c>
      <c r="B15" s="3">
        <v>40179</v>
      </c>
      <c r="C15" s="4">
        <v>4336</v>
      </c>
      <c r="D15">
        <v>11</v>
      </c>
      <c r="E15" s="27">
        <v>-29.4</v>
      </c>
      <c r="F15" t="s">
        <v>40</v>
      </c>
      <c r="G15" s="32"/>
      <c r="H15" s="37" t="s">
        <v>40</v>
      </c>
    </row>
    <row r="16" spans="1:9" x14ac:dyDescent="0.25">
      <c r="A16">
        <f t="shared" si="0"/>
        <v>5</v>
      </c>
      <c r="B16" s="3">
        <v>40179</v>
      </c>
      <c r="C16" s="4">
        <v>3522</v>
      </c>
      <c r="D16">
        <v>17</v>
      </c>
      <c r="E16" s="27">
        <v>61044.264897870926</v>
      </c>
      <c r="F16" t="s">
        <v>40</v>
      </c>
      <c r="G16" s="32"/>
      <c r="H16" t="s">
        <v>41</v>
      </c>
    </row>
    <row r="17" spans="1:8" x14ac:dyDescent="0.25">
      <c r="A17">
        <f t="shared" si="0"/>
        <v>6</v>
      </c>
      <c r="B17" s="3">
        <v>40179</v>
      </c>
      <c r="C17" s="4">
        <v>2425</v>
      </c>
      <c r="D17">
        <v>10</v>
      </c>
      <c r="E17" s="27">
        <v>2496.5499999999997</v>
      </c>
      <c r="F17" t="s">
        <v>40</v>
      </c>
      <c r="G17" s="32"/>
      <c r="H17" s="37" t="s">
        <v>40</v>
      </c>
    </row>
    <row r="18" spans="1:8" x14ac:dyDescent="0.25">
      <c r="A18">
        <f t="shared" si="0"/>
        <v>7</v>
      </c>
      <c r="B18" s="3">
        <v>40544</v>
      </c>
      <c r="C18" s="4">
        <v>7593</v>
      </c>
      <c r="D18">
        <v>28</v>
      </c>
      <c r="E18" s="27">
        <v>1221.9375</v>
      </c>
      <c r="F18" t="s">
        <v>41</v>
      </c>
      <c r="G18" s="32"/>
      <c r="H18" s="37" t="s">
        <v>40</v>
      </c>
    </row>
    <row r="19" spans="1:8" x14ac:dyDescent="0.25">
      <c r="A19">
        <f t="shared" si="0"/>
        <v>8</v>
      </c>
      <c r="B19" s="3">
        <v>40544</v>
      </c>
      <c r="C19" s="4">
        <v>2974</v>
      </c>
      <c r="D19">
        <v>18</v>
      </c>
      <c r="E19" s="27">
        <v>2452.9399999999996</v>
      </c>
      <c r="F19" t="s">
        <v>40</v>
      </c>
      <c r="G19" s="32"/>
      <c r="H19" s="37" t="s">
        <v>40</v>
      </c>
    </row>
    <row r="20" spans="1:8" x14ac:dyDescent="0.25">
      <c r="A20">
        <f t="shared" si="0"/>
        <v>9</v>
      </c>
      <c r="B20" s="3">
        <v>40544</v>
      </c>
      <c r="C20" s="4">
        <v>4813</v>
      </c>
      <c r="D20">
        <v>27</v>
      </c>
      <c r="E20" s="27">
        <v>72048.915598593303</v>
      </c>
      <c r="F20" t="s">
        <v>40</v>
      </c>
      <c r="G20" s="32"/>
      <c r="H20" t="s">
        <v>41</v>
      </c>
    </row>
    <row r="21" spans="1:8" x14ac:dyDescent="0.25">
      <c r="A21">
        <f t="shared" si="0"/>
        <v>10</v>
      </c>
      <c r="B21" s="3">
        <v>40544</v>
      </c>
      <c r="C21" s="4">
        <v>8845</v>
      </c>
      <c r="D21">
        <v>30</v>
      </c>
      <c r="E21" s="27">
        <v>32227.054999999993</v>
      </c>
      <c r="F21" t="s">
        <v>41</v>
      </c>
      <c r="G21" s="32"/>
      <c r="H21" s="37" t="s">
        <v>40</v>
      </c>
    </row>
    <row r="22" spans="1:8" x14ac:dyDescent="0.25">
      <c r="A22">
        <f t="shared" si="0"/>
        <v>11</v>
      </c>
      <c r="B22" s="3">
        <v>40544</v>
      </c>
      <c r="C22" s="4">
        <v>11890</v>
      </c>
      <c r="D22">
        <v>30</v>
      </c>
      <c r="E22" s="27">
        <v>4064.1824999999994</v>
      </c>
      <c r="F22" t="s">
        <v>40</v>
      </c>
      <c r="G22" s="32"/>
      <c r="H22" s="37" t="s">
        <v>40</v>
      </c>
    </row>
    <row r="23" spans="1:8" x14ac:dyDescent="0.25">
      <c r="A23">
        <f t="shared" si="0"/>
        <v>12</v>
      </c>
      <c r="B23" s="3">
        <v>40544</v>
      </c>
      <c r="C23" s="4">
        <v>8151</v>
      </c>
      <c r="D23">
        <v>18</v>
      </c>
      <c r="E23" s="27">
        <v>122017.60046626512</v>
      </c>
      <c r="F23" t="s">
        <v>40</v>
      </c>
      <c r="G23" s="32"/>
      <c r="H23" t="s">
        <v>41</v>
      </c>
    </row>
    <row r="24" spans="1:8" x14ac:dyDescent="0.25">
      <c r="A24">
        <f t="shared" si="0"/>
        <v>13</v>
      </c>
      <c r="B24" s="3">
        <v>40544</v>
      </c>
      <c r="C24" s="4">
        <v>8124</v>
      </c>
      <c r="D24">
        <v>11</v>
      </c>
      <c r="E24" s="27">
        <v>710.255</v>
      </c>
      <c r="F24" t="s">
        <v>40</v>
      </c>
      <c r="G24" s="32"/>
      <c r="H24" s="37" t="s">
        <v>40</v>
      </c>
    </row>
    <row r="25" spans="1:8" x14ac:dyDescent="0.25">
      <c r="A25">
        <f t="shared" si="0"/>
        <v>14</v>
      </c>
      <c r="B25" s="3">
        <v>40544</v>
      </c>
      <c r="C25" s="4">
        <v>7108</v>
      </c>
      <c r="D25">
        <v>25</v>
      </c>
      <c r="E25" s="27">
        <v>21483.192499999997</v>
      </c>
      <c r="F25" t="s">
        <v>40</v>
      </c>
      <c r="G25" s="32"/>
      <c r="H25" s="37" t="s">
        <v>40</v>
      </c>
    </row>
    <row r="26" spans="1:8" x14ac:dyDescent="0.25">
      <c r="A26">
        <f t="shared" si="0"/>
        <v>15</v>
      </c>
      <c r="B26" s="3">
        <v>40544</v>
      </c>
      <c r="C26" s="4">
        <v>9533</v>
      </c>
      <c r="D26">
        <v>18</v>
      </c>
      <c r="E26" s="27">
        <v>20504.785</v>
      </c>
      <c r="F26" t="s">
        <v>40</v>
      </c>
      <c r="G26" s="32"/>
      <c r="H26" s="37" t="s">
        <v>40</v>
      </c>
    </row>
    <row r="27" spans="1:8" x14ac:dyDescent="0.25">
      <c r="A27">
        <f t="shared" si="0"/>
        <v>16</v>
      </c>
      <c r="B27" s="3">
        <v>40544</v>
      </c>
      <c r="C27" s="4">
        <v>8636</v>
      </c>
      <c r="D27">
        <v>13</v>
      </c>
      <c r="E27" s="27">
        <v>13460.789999999997</v>
      </c>
      <c r="F27" t="s">
        <v>40</v>
      </c>
      <c r="G27" s="32"/>
      <c r="H27" s="37" t="s">
        <v>40</v>
      </c>
    </row>
    <row r="28" spans="1:8" x14ac:dyDescent="0.25">
      <c r="A28">
        <f t="shared" si="0"/>
        <v>17</v>
      </c>
      <c r="B28" s="3">
        <v>40909</v>
      </c>
      <c r="C28" s="4">
        <v>280</v>
      </c>
      <c r="D28">
        <v>33</v>
      </c>
      <c r="E28" s="27">
        <v>3509.5066178488787</v>
      </c>
      <c r="F28" t="s">
        <v>41</v>
      </c>
      <c r="G28" s="32"/>
      <c r="H28" t="s">
        <v>41</v>
      </c>
    </row>
    <row r="29" spans="1:8" x14ac:dyDescent="0.25">
      <c r="A29">
        <f t="shared" si="0"/>
        <v>18</v>
      </c>
      <c r="B29" s="3">
        <v>40909</v>
      </c>
      <c r="C29" s="4">
        <v>2188</v>
      </c>
      <c r="D29">
        <v>11</v>
      </c>
      <c r="E29" s="27">
        <v>2525.5825</v>
      </c>
      <c r="F29" t="s">
        <v>41</v>
      </c>
      <c r="G29" s="32"/>
      <c r="H29" s="37" t="s">
        <v>40</v>
      </c>
    </row>
    <row r="30" spans="1:8" x14ac:dyDescent="0.25">
      <c r="A30">
        <f t="shared" si="0"/>
        <v>19</v>
      </c>
      <c r="B30" s="3">
        <v>40909</v>
      </c>
      <c r="C30" s="4">
        <v>7150</v>
      </c>
      <c r="D30">
        <v>21</v>
      </c>
      <c r="E30" s="27">
        <v>1464.12</v>
      </c>
      <c r="F30" t="s">
        <v>40</v>
      </c>
      <c r="G30" s="32"/>
      <c r="H30" s="37" t="s">
        <v>40</v>
      </c>
    </row>
    <row r="31" spans="1:8" x14ac:dyDescent="0.25">
      <c r="A31">
        <f t="shared" si="0"/>
        <v>20</v>
      </c>
      <c r="B31" s="3">
        <v>40909</v>
      </c>
      <c r="C31" s="4">
        <v>9441</v>
      </c>
      <c r="D31">
        <v>30</v>
      </c>
      <c r="E31" s="27">
        <v>34394.814999999995</v>
      </c>
      <c r="F31" t="s">
        <v>40</v>
      </c>
      <c r="G31" s="32"/>
      <c r="H31" s="37" t="s">
        <v>40</v>
      </c>
    </row>
    <row r="32" spans="1:8" x14ac:dyDescent="0.25">
      <c r="A32">
        <f t="shared" si="0"/>
        <v>21</v>
      </c>
      <c r="B32" s="3">
        <v>40909</v>
      </c>
      <c r="C32" s="4">
        <v>111</v>
      </c>
      <c r="D32">
        <v>25</v>
      </c>
      <c r="E32" s="27">
        <v>-75.949999999999989</v>
      </c>
      <c r="F32" t="s">
        <v>40</v>
      </c>
      <c r="G32" s="32"/>
      <c r="H32" s="37" t="s">
        <v>40</v>
      </c>
    </row>
    <row r="33" spans="1:8" x14ac:dyDescent="0.25">
      <c r="A33">
        <f t="shared" si="0"/>
        <v>22</v>
      </c>
      <c r="B33" s="3">
        <v>40909</v>
      </c>
      <c r="C33" s="4">
        <v>6629</v>
      </c>
      <c r="D33">
        <v>16</v>
      </c>
      <c r="E33" s="27">
        <v>4363.8174999999992</v>
      </c>
      <c r="F33" t="s">
        <v>41</v>
      </c>
      <c r="G33" s="32"/>
      <c r="H33" s="37" t="s">
        <v>40</v>
      </c>
    </row>
    <row r="34" spans="1:8" x14ac:dyDescent="0.25">
      <c r="A34">
        <f t="shared" si="0"/>
        <v>23</v>
      </c>
      <c r="B34" s="3">
        <v>40909</v>
      </c>
      <c r="C34" s="4">
        <v>9901</v>
      </c>
      <c r="D34">
        <v>22</v>
      </c>
      <c r="E34" s="27">
        <v>1907.4474999999998</v>
      </c>
      <c r="F34" t="s">
        <v>40</v>
      </c>
      <c r="G34" s="32"/>
      <c r="H34" s="37" t="s">
        <v>40</v>
      </c>
    </row>
    <row r="35" spans="1:8" x14ac:dyDescent="0.25">
      <c r="A35">
        <f t="shared" si="0"/>
        <v>24</v>
      </c>
      <c r="B35" s="3">
        <v>40909</v>
      </c>
      <c r="C35" s="4">
        <v>6786</v>
      </c>
      <c r="D35">
        <v>14</v>
      </c>
      <c r="E35" s="27">
        <v>85055.399674008906</v>
      </c>
      <c r="F35" t="s">
        <v>40</v>
      </c>
      <c r="G35" s="32"/>
      <c r="H35" s="39" t="s">
        <v>41</v>
      </c>
    </row>
    <row r="36" spans="1:8" x14ac:dyDescent="0.25">
      <c r="A36">
        <f t="shared" si="0"/>
        <v>25</v>
      </c>
      <c r="B36" s="3">
        <v>40909</v>
      </c>
      <c r="C36" s="4">
        <v>5450</v>
      </c>
      <c r="D36">
        <v>16</v>
      </c>
      <c r="E36" s="27">
        <v>10244.674999999997</v>
      </c>
      <c r="F36" t="s">
        <v>41</v>
      </c>
      <c r="G36" s="32"/>
      <c r="H36" s="37" t="s">
        <v>40</v>
      </c>
    </row>
    <row r="37" spans="1:8" x14ac:dyDescent="0.25">
      <c r="A37">
        <f t="shared" si="0"/>
        <v>26</v>
      </c>
      <c r="B37" s="3">
        <v>41275</v>
      </c>
      <c r="C37" s="4">
        <v>6059</v>
      </c>
      <c r="D37">
        <v>21</v>
      </c>
      <c r="E37" s="27">
        <v>15257.374999999998</v>
      </c>
      <c r="F37" t="s">
        <v>40</v>
      </c>
      <c r="G37" s="32"/>
      <c r="H37" s="37" t="s">
        <v>40</v>
      </c>
    </row>
    <row r="38" spans="1:8" x14ac:dyDescent="0.25">
      <c r="A38">
        <f t="shared" si="0"/>
        <v>27</v>
      </c>
      <c r="B38" s="3">
        <v>41275</v>
      </c>
      <c r="C38" s="4">
        <v>4626</v>
      </c>
      <c r="D38">
        <v>27</v>
      </c>
      <c r="E38" s="27">
        <v>5098.9399999999996</v>
      </c>
      <c r="F38" t="s">
        <v>40</v>
      </c>
      <c r="G38" s="32"/>
      <c r="H38" s="37" t="s">
        <v>40</v>
      </c>
    </row>
    <row r="39" spans="1:8" x14ac:dyDescent="0.25">
      <c r="A39">
        <f t="shared" si="0"/>
        <v>28</v>
      </c>
      <c r="B39" s="3">
        <v>41275</v>
      </c>
      <c r="C39" s="4">
        <v>1480</v>
      </c>
      <c r="D39">
        <v>13</v>
      </c>
      <c r="E39" s="27">
        <v>378.64749999999992</v>
      </c>
      <c r="F39" t="s">
        <v>40</v>
      </c>
      <c r="G39" s="32"/>
      <c r="H39" s="37" t="s">
        <v>40</v>
      </c>
    </row>
    <row r="40" spans="1:8" x14ac:dyDescent="0.25">
      <c r="A40">
        <f t="shared" si="0"/>
        <v>29</v>
      </c>
      <c r="B40" s="3">
        <v>37622</v>
      </c>
      <c r="C40" s="4">
        <v>3566</v>
      </c>
      <c r="D40">
        <v>13</v>
      </c>
      <c r="E40" s="27">
        <v>902.82499999999993</v>
      </c>
      <c r="F40" t="s">
        <v>40</v>
      </c>
      <c r="G40" s="32"/>
      <c r="H40" s="37" t="s">
        <v>40</v>
      </c>
    </row>
    <row r="41" spans="1:8" x14ac:dyDescent="0.25">
      <c r="A41">
        <f t="shared" si="0"/>
        <v>30</v>
      </c>
      <c r="B41" s="3">
        <v>41275</v>
      </c>
      <c r="C41" s="4">
        <v>1163</v>
      </c>
      <c r="D41">
        <v>26</v>
      </c>
      <c r="E41" s="27">
        <v>12047.777350874183</v>
      </c>
      <c r="F41" t="s">
        <v>40</v>
      </c>
      <c r="G41" s="32"/>
      <c r="H41" s="39" t="s">
        <v>41</v>
      </c>
    </row>
    <row r="42" spans="1:8" x14ac:dyDescent="0.25">
      <c r="A42">
        <f t="shared" si="0"/>
        <v>31</v>
      </c>
      <c r="B42" s="3">
        <v>41275</v>
      </c>
      <c r="C42" s="4">
        <v>1156</v>
      </c>
      <c r="D42">
        <v>19</v>
      </c>
      <c r="E42" s="27">
        <v>671.91249999999991</v>
      </c>
      <c r="F42" t="s">
        <v>40</v>
      </c>
      <c r="G42" s="32"/>
      <c r="H42" s="37" t="s">
        <v>40</v>
      </c>
    </row>
    <row r="43" spans="1:8" x14ac:dyDescent="0.25">
      <c r="A43">
        <f t="shared" si="0"/>
        <v>32</v>
      </c>
      <c r="B43" s="3">
        <v>41275</v>
      </c>
      <c r="C43" s="4">
        <v>12000</v>
      </c>
      <c r="D43">
        <v>21</v>
      </c>
      <c r="E43" s="27">
        <v>18627.839999999997</v>
      </c>
      <c r="F43" t="s">
        <v>40</v>
      </c>
      <c r="G43" s="32"/>
      <c r="H43" s="37" t="s">
        <v>40</v>
      </c>
    </row>
    <row r="44" spans="1:8" x14ac:dyDescent="0.25">
      <c r="A44">
        <f t="shared" si="0"/>
        <v>33</v>
      </c>
      <c r="B44" s="3">
        <v>41275</v>
      </c>
      <c r="C44" s="4">
        <v>2551</v>
      </c>
      <c r="D44">
        <v>26</v>
      </c>
      <c r="E44" s="27">
        <v>26426.380070576131</v>
      </c>
      <c r="F44" t="s">
        <v>40</v>
      </c>
      <c r="G44" s="32"/>
      <c r="H44" s="39" t="s">
        <v>41</v>
      </c>
    </row>
    <row r="45" spans="1:8" x14ac:dyDescent="0.25">
      <c r="A45">
        <f t="shared" si="0"/>
        <v>34</v>
      </c>
      <c r="B45" s="3">
        <v>41275</v>
      </c>
      <c r="C45" s="4">
        <v>7495</v>
      </c>
      <c r="D45">
        <v>17</v>
      </c>
      <c r="E45" s="27">
        <v>15077.667499999998</v>
      </c>
      <c r="F45" t="s">
        <v>40</v>
      </c>
      <c r="G45" s="32"/>
      <c r="H45" s="37" t="s">
        <v>40</v>
      </c>
    </row>
    <row r="46" spans="1:8" x14ac:dyDescent="0.25">
      <c r="A46">
        <f t="shared" si="0"/>
        <v>35</v>
      </c>
      <c r="B46" s="3">
        <v>41275</v>
      </c>
      <c r="C46" s="4">
        <v>4008</v>
      </c>
      <c r="D46">
        <v>30</v>
      </c>
      <c r="E46" s="27">
        <v>14335.684999999999</v>
      </c>
      <c r="F46" t="s">
        <v>40</v>
      </c>
      <c r="G46" s="32"/>
      <c r="H46" s="37" t="s">
        <v>40</v>
      </c>
    </row>
    <row r="47" spans="1:8" x14ac:dyDescent="0.25">
      <c r="A47">
        <f t="shared" si="0"/>
        <v>36</v>
      </c>
      <c r="B47" s="3">
        <v>41275</v>
      </c>
      <c r="C47" s="4">
        <v>5764</v>
      </c>
      <c r="D47">
        <v>29</v>
      </c>
      <c r="E47" s="27">
        <v>20027.524999999998</v>
      </c>
      <c r="F47" t="s">
        <v>41</v>
      </c>
      <c r="G47" s="32"/>
      <c r="H47" s="37" t="s">
        <v>40</v>
      </c>
    </row>
    <row r="48" spans="1:8" x14ac:dyDescent="0.25">
      <c r="A48">
        <f t="shared" si="0"/>
        <v>37</v>
      </c>
      <c r="B48" s="3">
        <v>41275</v>
      </c>
      <c r="C48" s="4">
        <v>4178</v>
      </c>
      <c r="D48">
        <v>28</v>
      </c>
      <c r="E48" s="27">
        <v>13778.8</v>
      </c>
      <c r="F48" t="s">
        <v>40</v>
      </c>
      <c r="G48" s="32"/>
      <c r="H48" s="37" t="s">
        <v>40</v>
      </c>
    </row>
    <row r="49" spans="1:8" x14ac:dyDescent="0.25">
      <c r="A49">
        <f t="shared" si="0"/>
        <v>38</v>
      </c>
      <c r="B49" s="3">
        <v>41640</v>
      </c>
      <c r="C49" s="4">
        <v>6594</v>
      </c>
      <c r="D49">
        <v>21</v>
      </c>
      <c r="E49" s="27">
        <v>16711.817499999997</v>
      </c>
      <c r="F49" t="s">
        <v>40</v>
      </c>
      <c r="G49" s="32"/>
      <c r="H49" s="37" t="s">
        <v>40</v>
      </c>
    </row>
    <row r="50" spans="1:8" x14ac:dyDescent="0.25">
      <c r="A50">
        <f t="shared" si="0"/>
        <v>39</v>
      </c>
      <c r="B50" s="3">
        <v>41640</v>
      </c>
      <c r="C50" s="4">
        <v>8573</v>
      </c>
      <c r="D50">
        <v>15</v>
      </c>
      <c r="E50" s="27">
        <v>4932.3399999999992</v>
      </c>
      <c r="F50" t="s">
        <v>40</v>
      </c>
      <c r="G50" s="32"/>
      <c r="H50" s="37" t="s">
        <v>40</v>
      </c>
    </row>
    <row r="51" spans="1:8" x14ac:dyDescent="0.25">
      <c r="A51">
        <f t="shared" si="0"/>
        <v>40</v>
      </c>
      <c r="B51" s="3">
        <v>41640</v>
      </c>
      <c r="C51" s="4">
        <v>2001</v>
      </c>
      <c r="D51">
        <v>13</v>
      </c>
      <c r="E51" s="27">
        <v>242.79499999999996</v>
      </c>
      <c r="F51" t="s">
        <v>40</v>
      </c>
      <c r="G51" s="32"/>
      <c r="H51" s="37" t="s">
        <v>40</v>
      </c>
    </row>
    <row r="52" spans="1:8" x14ac:dyDescent="0.25">
      <c r="A52">
        <f t="shared" si="0"/>
        <v>41</v>
      </c>
      <c r="B52" s="3">
        <v>41640</v>
      </c>
      <c r="C52" s="4">
        <v>7658</v>
      </c>
      <c r="D52">
        <v>26</v>
      </c>
      <c r="E52" s="27">
        <v>24047.852499999997</v>
      </c>
      <c r="F52" t="s">
        <v>41</v>
      </c>
      <c r="G52" s="32"/>
      <c r="H52" s="37" t="s">
        <v>40</v>
      </c>
    </row>
    <row r="53" spans="1:8" x14ac:dyDescent="0.25">
      <c r="A53">
        <f t="shared" si="0"/>
        <v>42</v>
      </c>
      <c r="B53" s="3">
        <v>41640</v>
      </c>
      <c r="C53" s="4">
        <v>7130</v>
      </c>
      <c r="D53">
        <v>25</v>
      </c>
      <c r="E53" s="27">
        <v>21376.249999999996</v>
      </c>
      <c r="F53" t="s">
        <v>40</v>
      </c>
      <c r="G53" s="32"/>
      <c r="H53" s="37" t="s">
        <v>40</v>
      </c>
    </row>
    <row r="54" spans="1:8" x14ac:dyDescent="0.25">
      <c r="A54">
        <f t="shared" si="0"/>
        <v>43</v>
      </c>
      <c r="B54" s="3">
        <v>37987</v>
      </c>
      <c r="C54" s="4">
        <v>2230</v>
      </c>
      <c r="D54">
        <v>26</v>
      </c>
      <c r="E54" s="27">
        <v>6728.1899999999987</v>
      </c>
      <c r="F54" t="s">
        <v>40</v>
      </c>
      <c r="G54" s="32"/>
      <c r="H54" s="37" t="s">
        <v>40</v>
      </c>
    </row>
    <row r="55" spans="1:8" x14ac:dyDescent="0.25">
      <c r="A55">
        <f t="shared" si="0"/>
        <v>44</v>
      </c>
      <c r="B55" s="3">
        <v>41640</v>
      </c>
      <c r="C55" s="4">
        <v>7479</v>
      </c>
      <c r="D55">
        <v>12</v>
      </c>
      <c r="E55" s="27">
        <v>1351.9099999999999</v>
      </c>
      <c r="F55" t="s">
        <v>41</v>
      </c>
      <c r="G55" s="32"/>
      <c r="H55" s="37" t="s">
        <v>40</v>
      </c>
    </row>
    <row r="56" spans="1:8" x14ac:dyDescent="0.25">
      <c r="A56">
        <f t="shared" si="0"/>
        <v>45</v>
      </c>
      <c r="B56" s="3">
        <v>41640</v>
      </c>
      <c r="C56" s="4">
        <v>5408</v>
      </c>
      <c r="D56">
        <v>11</v>
      </c>
      <c r="E56" s="27">
        <v>145.52999999999997</v>
      </c>
      <c r="F56" t="s">
        <v>40</v>
      </c>
      <c r="G56" s="32"/>
      <c r="H56" s="37" t="s">
        <v>40</v>
      </c>
    </row>
    <row r="57" spans="1:8" x14ac:dyDescent="0.25">
      <c r="A57">
        <f t="shared" si="0"/>
        <v>46</v>
      </c>
      <c r="B57" s="3">
        <v>41640</v>
      </c>
      <c r="C57" s="4">
        <v>3898</v>
      </c>
      <c r="D57">
        <v>10</v>
      </c>
      <c r="E57" s="27">
        <v>4508.244999999999</v>
      </c>
      <c r="F57" t="s">
        <v>40</v>
      </c>
      <c r="G57" s="32"/>
      <c r="H57" s="37" t="s">
        <v>40</v>
      </c>
    </row>
    <row r="58" spans="1:8" x14ac:dyDescent="0.25">
      <c r="A58">
        <f t="shared" si="0"/>
        <v>47</v>
      </c>
      <c r="B58" s="3">
        <v>41640</v>
      </c>
      <c r="C58" s="4">
        <v>1319</v>
      </c>
      <c r="D58">
        <v>26</v>
      </c>
      <c r="E58" s="27">
        <v>3929.0649999999996</v>
      </c>
      <c r="F58" t="s">
        <v>40</v>
      </c>
      <c r="G58" s="32"/>
      <c r="H58" s="37" t="s">
        <v>40</v>
      </c>
    </row>
    <row r="59" spans="1:8" x14ac:dyDescent="0.25">
      <c r="A59">
        <f t="shared" si="0"/>
        <v>48</v>
      </c>
      <c r="B59" s="3">
        <v>41640</v>
      </c>
      <c r="C59" s="4">
        <v>9369</v>
      </c>
      <c r="D59">
        <v>20</v>
      </c>
      <c r="E59" s="27">
        <v>80076.376803257604</v>
      </c>
      <c r="F59" t="s">
        <v>41</v>
      </c>
      <c r="G59" s="32"/>
      <c r="H59" s="39" t="s">
        <v>41</v>
      </c>
    </row>
    <row r="60" spans="1:8" x14ac:dyDescent="0.25">
      <c r="A60">
        <f t="shared" si="0"/>
        <v>49</v>
      </c>
      <c r="B60" s="3">
        <v>41640</v>
      </c>
      <c r="C60" s="4">
        <v>9095</v>
      </c>
      <c r="D60">
        <v>30</v>
      </c>
      <c r="E60" s="27">
        <v>16680.579999999998</v>
      </c>
      <c r="F60" t="s">
        <v>40</v>
      </c>
      <c r="G60" s="32"/>
      <c r="H60" s="37" t="s">
        <v>40</v>
      </c>
    </row>
    <row r="61" spans="1:8" x14ac:dyDescent="0.25">
      <c r="A61">
        <f t="shared" si="0"/>
        <v>50</v>
      </c>
      <c r="B61" s="3">
        <v>41640</v>
      </c>
      <c r="C61" s="4">
        <v>8896</v>
      </c>
      <c r="D61">
        <v>12</v>
      </c>
      <c r="E61" s="27">
        <v>2682.0149999999999</v>
      </c>
      <c r="F61" t="s">
        <v>41</v>
      </c>
      <c r="G61" s="32"/>
      <c r="H61" s="37" t="s">
        <v>40</v>
      </c>
    </row>
    <row r="62" spans="1:8" x14ac:dyDescent="0.25">
      <c r="A62">
        <f t="shared" si="0"/>
        <v>51</v>
      </c>
      <c r="B62" s="3">
        <v>41640</v>
      </c>
      <c r="C62" s="4">
        <v>4422</v>
      </c>
      <c r="D62">
        <v>67</v>
      </c>
      <c r="E62" s="27">
        <v>17829.997499999998</v>
      </c>
      <c r="F62" t="s">
        <v>40</v>
      </c>
      <c r="G62" s="32"/>
      <c r="H62" s="37" t="s">
        <v>40</v>
      </c>
    </row>
    <row r="63" spans="1:8" x14ac:dyDescent="0.25">
      <c r="A63">
        <f t="shared" si="0"/>
        <v>52</v>
      </c>
      <c r="B63" s="3">
        <v>41640</v>
      </c>
      <c r="C63" s="4">
        <v>1817</v>
      </c>
      <c r="D63">
        <v>16</v>
      </c>
      <c r="E63" s="27">
        <v>805.4375</v>
      </c>
      <c r="F63" t="s">
        <v>40</v>
      </c>
      <c r="G63" s="32"/>
      <c r="H63" s="37" t="s">
        <v>40</v>
      </c>
    </row>
    <row r="64" spans="1:8" x14ac:dyDescent="0.25">
      <c r="A64">
        <f t="shared" si="0"/>
        <v>53</v>
      </c>
      <c r="B64" s="3">
        <v>41640</v>
      </c>
      <c r="C64" s="4">
        <v>8780</v>
      </c>
      <c r="D64">
        <v>14</v>
      </c>
      <c r="E64" s="27">
        <v>14460.022499999999</v>
      </c>
      <c r="F64" t="s">
        <v>40</v>
      </c>
      <c r="G64" s="32"/>
      <c r="H64" s="37" t="s">
        <v>40</v>
      </c>
    </row>
    <row r="65" spans="1:8" x14ac:dyDescent="0.25">
      <c r="A65">
        <f t="shared" si="0"/>
        <v>54</v>
      </c>
      <c r="B65" s="3">
        <v>41640</v>
      </c>
      <c r="C65" s="4">
        <v>7004</v>
      </c>
      <c r="D65">
        <v>11</v>
      </c>
      <c r="E65" s="27">
        <v>596.45249999999987</v>
      </c>
      <c r="F65" t="s">
        <v>40</v>
      </c>
      <c r="G65" s="32"/>
      <c r="H65" s="37" t="s">
        <v>40</v>
      </c>
    </row>
    <row r="66" spans="1:8" x14ac:dyDescent="0.25">
      <c r="A66">
        <f t="shared" si="0"/>
        <v>55</v>
      </c>
      <c r="B66" s="3">
        <v>41640</v>
      </c>
      <c r="C66" s="4">
        <v>8451</v>
      </c>
      <c r="D66">
        <v>24</v>
      </c>
      <c r="E66" s="27">
        <v>4807.1449999999995</v>
      </c>
      <c r="F66" t="s">
        <v>40</v>
      </c>
      <c r="G66" s="32"/>
      <c r="H66" s="37" t="s">
        <v>40</v>
      </c>
    </row>
    <row r="67" spans="1:8" x14ac:dyDescent="0.25">
      <c r="A67">
        <f t="shared" si="0"/>
        <v>56</v>
      </c>
      <c r="B67" s="3">
        <v>41640</v>
      </c>
      <c r="C67" s="4">
        <v>4961</v>
      </c>
      <c r="D67">
        <v>22</v>
      </c>
      <c r="E67" s="27">
        <v>42401.420143127449</v>
      </c>
      <c r="F67" t="s">
        <v>41</v>
      </c>
      <c r="G67" s="32"/>
      <c r="H67" s="39" t="s">
        <v>41</v>
      </c>
    </row>
    <row r="68" spans="1:8" x14ac:dyDescent="0.25">
      <c r="A68">
        <f t="shared" si="0"/>
        <v>57</v>
      </c>
      <c r="B68" s="3">
        <v>42005</v>
      </c>
      <c r="C68" s="4">
        <v>9835</v>
      </c>
      <c r="D68">
        <v>19</v>
      </c>
      <c r="E68" s="27">
        <v>717.72749999999996</v>
      </c>
      <c r="F68" t="s">
        <v>40</v>
      </c>
      <c r="G68" s="32"/>
      <c r="H68" s="37" t="s">
        <v>40</v>
      </c>
    </row>
    <row r="69" spans="1:8" x14ac:dyDescent="0.25">
      <c r="A69">
        <f t="shared" si="0"/>
        <v>58</v>
      </c>
      <c r="B69" s="3">
        <v>38353</v>
      </c>
      <c r="C69" s="4">
        <v>4115</v>
      </c>
      <c r="D69">
        <v>19</v>
      </c>
      <c r="E69" s="27">
        <v>9219.3499999999985</v>
      </c>
      <c r="F69" t="s">
        <v>40</v>
      </c>
      <c r="G69" s="32"/>
      <c r="H69" s="37" t="s">
        <v>40</v>
      </c>
    </row>
    <row r="70" spans="1:8" x14ac:dyDescent="0.25">
      <c r="A70">
        <f t="shared" si="0"/>
        <v>59</v>
      </c>
      <c r="B70" s="3">
        <v>42005</v>
      </c>
      <c r="C70" s="4">
        <v>496</v>
      </c>
      <c r="D70">
        <v>17</v>
      </c>
      <c r="E70" s="27">
        <v>3514.37787090656</v>
      </c>
      <c r="F70" t="s">
        <v>41</v>
      </c>
      <c r="G70" s="32"/>
      <c r="H70" s="39" t="s">
        <v>41</v>
      </c>
    </row>
    <row r="71" spans="1:8" x14ac:dyDescent="0.25">
      <c r="A71">
        <f t="shared" si="0"/>
        <v>60</v>
      </c>
      <c r="B71" s="3">
        <v>42005</v>
      </c>
      <c r="C71" s="4">
        <v>8999</v>
      </c>
      <c r="D71">
        <v>22</v>
      </c>
      <c r="E71" s="27">
        <v>4305.7524999999996</v>
      </c>
      <c r="F71" t="s">
        <v>41</v>
      </c>
      <c r="G71" s="32"/>
      <c r="H71" s="37" t="s">
        <v>40</v>
      </c>
    </row>
    <row r="72" spans="1:8" x14ac:dyDescent="0.25">
      <c r="A72">
        <f t="shared" si="0"/>
        <v>61</v>
      </c>
      <c r="B72" s="3">
        <v>42005</v>
      </c>
      <c r="C72" s="4">
        <v>900</v>
      </c>
      <c r="D72">
        <v>28</v>
      </c>
      <c r="E72" s="27">
        <v>313.35499999999996</v>
      </c>
      <c r="F72" t="s">
        <v>40</v>
      </c>
      <c r="G72" s="32"/>
      <c r="H72" s="37" t="s">
        <v>40</v>
      </c>
    </row>
    <row r="73" spans="1:8" x14ac:dyDescent="0.25">
      <c r="A73">
        <f t="shared" si="0"/>
        <v>62</v>
      </c>
      <c r="B73" s="3">
        <v>42005</v>
      </c>
      <c r="C73" s="4">
        <v>4188</v>
      </c>
      <c r="D73">
        <v>8</v>
      </c>
      <c r="E73" s="27">
        <v>3562.6674999999996</v>
      </c>
      <c r="F73" t="s">
        <v>40</v>
      </c>
      <c r="G73" s="32"/>
      <c r="H73" s="37" t="s">
        <v>40</v>
      </c>
    </row>
    <row r="74" spans="1:8" x14ac:dyDescent="0.25">
      <c r="A74">
        <f t="shared" si="0"/>
        <v>63</v>
      </c>
      <c r="B74" s="3">
        <v>42005</v>
      </c>
      <c r="C74" s="4">
        <v>3867</v>
      </c>
      <c r="D74">
        <v>12</v>
      </c>
      <c r="E74" s="27">
        <v>5320.4199999999992</v>
      </c>
      <c r="F74" t="s">
        <v>40</v>
      </c>
      <c r="G74" s="32"/>
      <c r="H74" s="37" t="s">
        <v>40</v>
      </c>
    </row>
    <row r="75" spans="1:8" x14ac:dyDescent="0.25">
      <c r="A75">
        <f t="shared" si="0"/>
        <v>64</v>
      </c>
      <c r="B75" s="3">
        <v>42005</v>
      </c>
      <c r="C75" s="4">
        <v>3821</v>
      </c>
      <c r="D75">
        <v>24</v>
      </c>
      <c r="E75" s="27">
        <v>1365.0174999999999</v>
      </c>
      <c r="F75" t="s">
        <v>40</v>
      </c>
      <c r="G75" s="32"/>
      <c r="H75" s="37" t="s">
        <v>40</v>
      </c>
    </row>
    <row r="76" spans="1:8" x14ac:dyDescent="0.25">
      <c r="A76">
        <f t="shared" si="0"/>
        <v>65</v>
      </c>
      <c r="B76" s="3">
        <v>42005</v>
      </c>
      <c r="C76" s="4">
        <v>9783</v>
      </c>
      <c r="D76">
        <v>9</v>
      </c>
      <c r="E76" s="27">
        <v>1404.2174999999997</v>
      </c>
      <c r="F76" t="s">
        <v>40</v>
      </c>
      <c r="G76" s="32"/>
      <c r="H76" s="37" t="s">
        <v>40</v>
      </c>
    </row>
    <row r="77" spans="1:8" x14ac:dyDescent="0.25">
      <c r="A77">
        <f t="shared" si="0"/>
        <v>66</v>
      </c>
      <c r="B77" s="3">
        <v>42005</v>
      </c>
      <c r="C77" s="4">
        <v>6394</v>
      </c>
      <c r="D77">
        <v>24</v>
      </c>
      <c r="E77" s="27">
        <v>1583.4349999999997</v>
      </c>
      <c r="F77" t="s">
        <v>41</v>
      </c>
      <c r="G77" s="32"/>
      <c r="H77" s="37" t="s">
        <v>40</v>
      </c>
    </row>
    <row r="78" spans="1:8" x14ac:dyDescent="0.25">
      <c r="A78">
        <f t="shared" ref="A78:A91" si="1">A77+1</f>
        <v>67</v>
      </c>
      <c r="B78" s="3">
        <v>42005</v>
      </c>
      <c r="C78" s="4">
        <v>1466</v>
      </c>
      <c r="D78">
        <v>11</v>
      </c>
      <c r="E78" s="27">
        <v>10387.25394909076</v>
      </c>
      <c r="F78" t="s">
        <v>40</v>
      </c>
      <c r="G78" s="32"/>
      <c r="H78" s="39" t="s">
        <v>41</v>
      </c>
    </row>
    <row r="79" spans="1:8" x14ac:dyDescent="0.25">
      <c r="A79">
        <f t="shared" si="1"/>
        <v>68</v>
      </c>
      <c r="B79" s="3">
        <v>42005</v>
      </c>
      <c r="C79" s="4">
        <v>2173</v>
      </c>
      <c r="D79">
        <v>11</v>
      </c>
      <c r="E79" s="27">
        <v>15396.659502983779</v>
      </c>
      <c r="F79" t="s">
        <v>41</v>
      </c>
      <c r="G79" s="32"/>
      <c r="H79" s="39" t="s">
        <v>41</v>
      </c>
    </row>
    <row r="80" spans="1:8" x14ac:dyDescent="0.25">
      <c r="A80">
        <f t="shared" si="1"/>
        <v>69</v>
      </c>
      <c r="B80" s="3">
        <v>42005</v>
      </c>
      <c r="C80" s="4">
        <v>5525</v>
      </c>
      <c r="D80">
        <v>19</v>
      </c>
      <c r="E80" s="27">
        <v>12270.334999999999</v>
      </c>
      <c r="F80" t="s">
        <v>40</v>
      </c>
      <c r="G80" s="32"/>
      <c r="H80" s="37" t="s">
        <v>40</v>
      </c>
    </row>
    <row r="81" spans="1:8" x14ac:dyDescent="0.25">
      <c r="A81">
        <f t="shared" si="1"/>
        <v>70</v>
      </c>
      <c r="B81" s="3">
        <v>42005</v>
      </c>
      <c r="C81" s="4">
        <v>6181</v>
      </c>
      <c r="D81">
        <v>25</v>
      </c>
      <c r="E81" s="27">
        <v>3881.7799999999993</v>
      </c>
      <c r="F81" t="s">
        <v>41</v>
      </c>
      <c r="G81" s="32"/>
      <c r="H81" s="37" t="s">
        <v>40</v>
      </c>
    </row>
    <row r="82" spans="1:8" x14ac:dyDescent="0.25">
      <c r="A82">
        <f t="shared" si="1"/>
        <v>71</v>
      </c>
      <c r="B82" s="3">
        <v>42005</v>
      </c>
      <c r="C82" s="4">
        <v>6994</v>
      </c>
      <c r="D82">
        <v>9</v>
      </c>
      <c r="E82" s="27">
        <v>7195.7724999999991</v>
      </c>
      <c r="F82" t="s">
        <v>40</v>
      </c>
      <c r="G82" s="32"/>
      <c r="H82" s="37" t="s">
        <v>40</v>
      </c>
    </row>
    <row r="83" spans="1:8" x14ac:dyDescent="0.25">
      <c r="A83">
        <f t="shared" si="1"/>
        <v>72</v>
      </c>
      <c r="B83" s="3">
        <v>43101</v>
      </c>
      <c r="C83" s="4">
        <v>3505</v>
      </c>
      <c r="D83">
        <v>7</v>
      </c>
      <c r="E83" s="27">
        <v>11556.034070000002</v>
      </c>
      <c r="F83" t="s">
        <v>40</v>
      </c>
      <c r="G83" s="32"/>
      <c r="H83" s="39" t="s">
        <v>41</v>
      </c>
    </row>
    <row r="84" spans="1:8" x14ac:dyDescent="0.25">
      <c r="A84">
        <f t="shared" si="1"/>
        <v>73</v>
      </c>
      <c r="B84" s="3">
        <v>43101</v>
      </c>
      <c r="C84" s="4">
        <v>7833</v>
      </c>
      <c r="D84">
        <v>21</v>
      </c>
      <c r="E84" s="27">
        <v>2245.5474999999997</v>
      </c>
      <c r="F84" t="s">
        <v>40</v>
      </c>
      <c r="G84" s="32"/>
      <c r="H84" s="37" t="s">
        <v>40</v>
      </c>
    </row>
    <row r="85" spans="1:8" x14ac:dyDescent="0.25">
      <c r="A85">
        <f t="shared" si="1"/>
        <v>74</v>
      </c>
      <c r="B85" s="3">
        <v>43101</v>
      </c>
      <c r="C85" s="4">
        <v>6404</v>
      </c>
      <c r="D85">
        <v>4</v>
      </c>
      <c r="E85" s="27">
        <v>2605.0849999999996</v>
      </c>
      <c r="F85" t="s">
        <v>40</v>
      </c>
      <c r="G85" s="32"/>
      <c r="H85" s="37" t="s">
        <v>40</v>
      </c>
    </row>
    <row r="86" spans="1:8" x14ac:dyDescent="0.25">
      <c r="A86">
        <f t="shared" si="1"/>
        <v>75</v>
      </c>
      <c r="B86" s="3">
        <v>43101</v>
      </c>
      <c r="C86" s="4">
        <v>2449</v>
      </c>
      <c r="D86">
        <v>27</v>
      </c>
      <c r="E86" s="27">
        <v>8074.3872860000001</v>
      </c>
      <c r="F86" t="s">
        <v>40</v>
      </c>
      <c r="G86" s="32"/>
      <c r="H86" s="39" t="s">
        <v>41</v>
      </c>
    </row>
    <row r="87" spans="1:8" x14ac:dyDescent="0.25">
      <c r="A87">
        <f t="shared" si="1"/>
        <v>76</v>
      </c>
      <c r="B87" s="3">
        <v>43466</v>
      </c>
      <c r="C87" s="4">
        <v>7555</v>
      </c>
      <c r="D87">
        <v>25</v>
      </c>
      <c r="E87" s="27">
        <v>15622.229000000001</v>
      </c>
      <c r="F87" t="s">
        <v>40</v>
      </c>
      <c r="G87" s="32"/>
      <c r="H87" s="37" t="s">
        <v>41</v>
      </c>
    </row>
    <row r="88" spans="1:8" x14ac:dyDescent="0.25">
      <c r="A88">
        <f t="shared" si="1"/>
        <v>77</v>
      </c>
      <c r="B88" s="3">
        <v>43466</v>
      </c>
      <c r="C88" s="4">
        <v>1857</v>
      </c>
      <c r="D88">
        <v>5</v>
      </c>
      <c r="E88" s="27">
        <v>3839.9045999999998</v>
      </c>
      <c r="F88" t="s">
        <v>41</v>
      </c>
      <c r="G88" s="32"/>
      <c r="H88" s="39" t="s">
        <v>41</v>
      </c>
    </row>
    <row r="89" spans="1:8" x14ac:dyDescent="0.25">
      <c r="A89">
        <f t="shared" si="1"/>
        <v>78</v>
      </c>
      <c r="B89" s="3">
        <v>39814</v>
      </c>
      <c r="C89" s="4">
        <v>5117</v>
      </c>
      <c r="D89">
        <v>7</v>
      </c>
      <c r="E89" s="27">
        <v>10580.9326</v>
      </c>
      <c r="F89" t="s">
        <v>41</v>
      </c>
      <c r="G89" s="32"/>
      <c r="H89" s="37" t="s">
        <v>41</v>
      </c>
    </row>
    <row r="90" spans="1:8" x14ac:dyDescent="0.25">
      <c r="A90">
        <f t="shared" si="1"/>
        <v>79</v>
      </c>
      <c r="B90" s="3">
        <v>43466</v>
      </c>
      <c r="C90" s="4">
        <v>5332</v>
      </c>
      <c r="D90">
        <v>18</v>
      </c>
      <c r="E90" s="27">
        <v>11025.509599999999</v>
      </c>
      <c r="F90" t="s">
        <v>40</v>
      </c>
      <c r="G90" s="32"/>
      <c r="H90" s="37" t="s">
        <v>41</v>
      </c>
    </row>
    <row r="91" spans="1:8" x14ac:dyDescent="0.25">
      <c r="A91">
        <f t="shared" si="1"/>
        <v>80</v>
      </c>
      <c r="B91" s="3">
        <v>43466</v>
      </c>
      <c r="C91" s="4">
        <v>4860</v>
      </c>
      <c r="D91">
        <v>2</v>
      </c>
      <c r="E91" s="27">
        <v>10049.508</v>
      </c>
      <c r="F91" t="s">
        <v>41</v>
      </c>
      <c r="G91" s="32"/>
      <c r="H91" s="39" t="s">
        <v>41</v>
      </c>
    </row>
    <row r="92" spans="1:8" x14ac:dyDescent="0.25">
      <c r="B92" s="3"/>
      <c r="C92" s="4"/>
      <c r="E92" s="5"/>
    </row>
    <row r="93" spans="1:8" x14ac:dyDescent="0.25">
      <c r="B93" s="3"/>
      <c r="C93" s="4"/>
      <c r="E93" s="5"/>
    </row>
    <row r="94" spans="1:8" x14ac:dyDescent="0.25">
      <c r="B94" s="3"/>
      <c r="C94" s="4"/>
      <c r="E94" s="5"/>
    </row>
    <row r="95" spans="1:8" x14ac:dyDescent="0.25">
      <c r="B95" s="3"/>
      <c r="C95" s="4"/>
      <c r="E95" s="5"/>
    </row>
    <row r="96" spans="1:8" x14ac:dyDescent="0.25">
      <c r="B96" s="3"/>
      <c r="C96" s="4"/>
      <c r="E96" s="5"/>
    </row>
    <row r="97" spans="2:5" x14ac:dyDescent="0.25">
      <c r="B97" s="3"/>
      <c r="C97" s="4"/>
      <c r="E97" s="5"/>
    </row>
    <row r="98" spans="2:5" x14ac:dyDescent="0.25">
      <c r="B98" s="3"/>
      <c r="C98" s="4"/>
      <c r="E98" s="5"/>
    </row>
    <row r="99" spans="2:5" x14ac:dyDescent="0.25">
      <c r="B99" s="3"/>
      <c r="C99" s="4"/>
      <c r="E99" s="5"/>
    </row>
    <row r="100" spans="2:5" x14ac:dyDescent="0.25">
      <c r="B100" s="3"/>
      <c r="C100" s="4"/>
      <c r="E100" s="5"/>
    </row>
    <row r="101" spans="2:5" x14ac:dyDescent="0.25">
      <c r="B101" s="3"/>
      <c r="C101" s="4"/>
      <c r="E101" s="5"/>
    </row>
    <row r="102" spans="2:5" x14ac:dyDescent="0.25">
      <c r="B102" s="3"/>
      <c r="C102" s="4"/>
      <c r="E102" s="5"/>
    </row>
    <row r="103" spans="2:5" x14ac:dyDescent="0.25">
      <c r="B103" s="3"/>
      <c r="C103" s="4"/>
      <c r="E103" s="5"/>
    </row>
    <row r="104" spans="2:5" x14ac:dyDescent="0.25">
      <c r="B104" s="3"/>
      <c r="C104" s="4"/>
      <c r="E104" s="5"/>
    </row>
    <row r="105" spans="2:5" x14ac:dyDescent="0.25">
      <c r="B105" s="3"/>
      <c r="C105" s="4"/>
      <c r="E105" s="5"/>
    </row>
    <row r="106" spans="2:5" x14ac:dyDescent="0.25">
      <c r="B106" s="3"/>
      <c r="C106" s="4"/>
      <c r="E106" s="5"/>
    </row>
    <row r="107" spans="2:5" x14ac:dyDescent="0.25">
      <c r="B107" s="3"/>
      <c r="C107" s="4"/>
      <c r="E107" s="5"/>
    </row>
    <row r="108" spans="2:5" x14ac:dyDescent="0.25">
      <c r="B108" s="3"/>
      <c r="C108" s="4"/>
      <c r="E108" s="5"/>
    </row>
    <row r="109" spans="2:5" x14ac:dyDescent="0.25">
      <c r="B109" s="3"/>
      <c r="C109" s="4"/>
      <c r="E109" s="5"/>
    </row>
    <row r="110" spans="2:5" x14ac:dyDescent="0.25">
      <c r="B110" s="3"/>
      <c r="C110" s="4"/>
      <c r="E110" s="5"/>
    </row>
    <row r="111" spans="2:5" x14ac:dyDescent="0.25">
      <c r="B111" s="3"/>
      <c r="C111" s="4"/>
      <c r="E111" s="5"/>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heetViews>
  <sheetFormatPr defaultColWidth="11" defaultRowHeight="15.75" x14ac:dyDescent="0.25"/>
  <cols>
    <col min="10" max="10" width="11.625" customWidth="1"/>
  </cols>
  <sheetData>
    <row r="1" spans="1:10" ht="17.25" x14ac:dyDescent="0.3">
      <c r="A1" s="6" t="s">
        <v>7</v>
      </c>
      <c r="G1" s="6" t="s">
        <v>36</v>
      </c>
    </row>
    <row r="2" spans="1:10" x14ac:dyDescent="0.25">
      <c r="A2" t="s">
        <v>8</v>
      </c>
      <c r="G2" t="s">
        <v>54</v>
      </c>
    </row>
    <row r="4" spans="1:10" ht="45" x14ac:dyDescent="0.25">
      <c r="A4" s="2" t="s">
        <v>9</v>
      </c>
      <c r="B4" s="2" t="s">
        <v>10</v>
      </c>
      <c r="C4" s="2" t="s">
        <v>11</v>
      </c>
      <c r="D4" s="7" t="s">
        <v>46</v>
      </c>
      <c r="G4" s="2" t="s">
        <v>9</v>
      </c>
      <c r="H4" s="2" t="s">
        <v>53</v>
      </c>
      <c r="I4" s="2" t="s">
        <v>11</v>
      </c>
      <c r="J4" s="7"/>
    </row>
    <row r="5" spans="1:10" x14ac:dyDescent="0.25">
      <c r="A5">
        <v>2010</v>
      </c>
      <c r="B5" s="34">
        <v>-0.03</v>
      </c>
      <c r="C5" s="35">
        <f>1+B5</f>
        <v>0.97</v>
      </c>
      <c r="D5" s="36">
        <f>PRODUCT(C5:$C$15)</f>
        <v>2.3626248741670519</v>
      </c>
      <c r="E5" s="29"/>
      <c r="F5" s="29"/>
      <c r="G5" s="29">
        <v>2010</v>
      </c>
      <c r="H5" s="34">
        <v>0.15</v>
      </c>
      <c r="I5" s="35">
        <f>1+H5</f>
        <v>1.1499999999999999</v>
      </c>
      <c r="J5" s="36"/>
    </row>
    <row r="6" spans="1:10" x14ac:dyDescent="0.25">
      <c r="A6">
        <f>A5+1</f>
        <v>2011</v>
      </c>
      <c r="B6" s="34">
        <v>0.12</v>
      </c>
      <c r="C6" s="35">
        <f t="shared" ref="C6:C15" si="0">1+B6</f>
        <v>1.1200000000000001</v>
      </c>
      <c r="D6" s="36">
        <f>PRODUCT(C6:$C$15)</f>
        <v>2.435695746563971</v>
      </c>
      <c r="E6" s="29"/>
      <c r="F6" s="29"/>
      <c r="G6" s="29">
        <f>G5+1</f>
        <v>2011</v>
      </c>
      <c r="H6" s="34">
        <v>0.15</v>
      </c>
      <c r="I6" s="35">
        <f t="shared" ref="I6:I15" si="1">1+H6</f>
        <v>1.1499999999999999</v>
      </c>
      <c r="J6" s="36"/>
    </row>
    <row r="7" spans="1:10" x14ac:dyDescent="0.25">
      <c r="A7">
        <f t="shared" ref="A7:A15" si="2">A6+1</f>
        <v>2012</v>
      </c>
      <c r="B7" s="34">
        <v>0.2</v>
      </c>
      <c r="C7" s="35">
        <f t="shared" si="0"/>
        <v>1.2</v>
      </c>
      <c r="D7" s="36">
        <f>PRODUCT(C7:$C$15)</f>
        <v>2.174728345146403</v>
      </c>
      <c r="E7" s="29"/>
      <c r="F7" s="29"/>
      <c r="G7" s="29">
        <f t="shared" ref="G7:G15" si="3">G6+1</f>
        <v>2012</v>
      </c>
      <c r="H7" s="34">
        <v>0.15</v>
      </c>
      <c r="I7" s="35">
        <f t="shared" si="1"/>
        <v>1.1499999999999999</v>
      </c>
      <c r="J7" s="36"/>
    </row>
    <row r="8" spans="1:10" x14ac:dyDescent="0.25">
      <c r="A8">
        <f t="shared" si="2"/>
        <v>2013</v>
      </c>
      <c r="B8" s="34">
        <v>0.24</v>
      </c>
      <c r="C8" s="35">
        <f t="shared" si="0"/>
        <v>1.24</v>
      </c>
      <c r="D8" s="36">
        <f>PRODUCT(C8:$C$15)</f>
        <v>1.8122736209553358</v>
      </c>
      <c r="E8" s="29"/>
      <c r="F8" s="29"/>
      <c r="G8" s="29">
        <f t="shared" si="3"/>
        <v>2013</v>
      </c>
      <c r="H8" s="34">
        <v>0.1</v>
      </c>
      <c r="I8" s="35">
        <f t="shared" si="1"/>
        <v>1.1000000000000001</v>
      </c>
      <c r="J8" s="36"/>
    </row>
    <row r="9" spans="1:10" x14ac:dyDescent="0.25">
      <c r="A9">
        <f t="shared" si="2"/>
        <v>2014</v>
      </c>
      <c r="B9" s="34">
        <v>-0.01</v>
      </c>
      <c r="C9" s="35">
        <f t="shared" si="0"/>
        <v>0.99</v>
      </c>
      <c r="D9" s="36">
        <f>PRODUCT(C9:$C$15)</f>
        <v>1.4615109846414003</v>
      </c>
      <c r="E9" s="29"/>
      <c r="F9" s="29"/>
      <c r="G9" s="29">
        <f t="shared" si="3"/>
        <v>2014</v>
      </c>
      <c r="H9" s="34">
        <v>7.4999999999999997E-2</v>
      </c>
      <c r="I9" s="35">
        <f t="shared" si="1"/>
        <v>1.075</v>
      </c>
      <c r="J9" s="36"/>
    </row>
    <row r="10" spans="1:10" x14ac:dyDescent="0.25">
      <c r="A10">
        <f t="shared" si="2"/>
        <v>2015</v>
      </c>
      <c r="B10" s="34">
        <v>0.28999999999999998</v>
      </c>
      <c r="C10" s="35">
        <f t="shared" si="0"/>
        <v>1.29</v>
      </c>
      <c r="D10" s="36">
        <f>PRODUCT(C10:$C$15)</f>
        <v>1.4762737218599999</v>
      </c>
      <c r="E10" s="29"/>
      <c r="F10" s="29"/>
      <c r="G10" s="29">
        <f t="shared" si="3"/>
        <v>2015</v>
      </c>
      <c r="H10" s="34">
        <v>0.1</v>
      </c>
      <c r="I10" s="35">
        <f t="shared" si="1"/>
        <v>1.1000000000000001</v>
      </c>
      <c r="J10" s="36"/>
    </row>
    <row r="11" spans="1:10" x14ac:dyDescent="0.25">
      <c r="A11">
        <f t="shared" si="2"/>
        <v>2016</v>
      </c>
      <c r="B11" s="34">
        <v>-0.02</v>
      </c>
      <c r="C11" s="35">
        <f t="shared" si="0"/>
        <v>0.98</v>
      </c>
      <c r="D11" s="36">
        <f>PRODUCT(C11:$C$15)</f>
        <v>1.1443982339999998</v>
      </c>
      <c r="E11" s="29"/>
      <c r="F11" s="29"/>
      <c r="G11" s="29">
        <f t="shared" si="3"/>
        <v>2016</v>
      </c>
      <c r="H11" s="34">
        <v>0.05</v>
      </c>
      <c r="I11" s="35">
        <f t="shared" si="1"/>
        <v>1.05</v>
      </c>
      <c r="J11" s="36"/>
    </row>
    <row r="12" spans="1:10" x14ac:dyDescent="0.25">
      <c r="A12">
        <f t="shared" si="2"/>
        <v>2017</v>
      </c>
      <c r="B12" s="34">
        <v>-0.05</v>
      </c>
      <c r="C12" s="35">
        <f t="shared" si="0"/>
        <v>0.95</v>
      </c>
      <c r="D12" s="36">
        <f>PRODUCT(C12:$C$15)</f>
        <v>1.1677532999999998</v>
      </c>
      <c r="E12" s="29"/>
      <c r="F12" s="29"/>
      <c r="G12" s="29">
        <f t="shared" si="3"/>
        <v>2017</v>
      </c>
      <c r="H12" s="34">
        <v>0.05</v>
      </c>
      <c r="I12" s="35">
        <f t="shared" si="1"/>
        <v>1.05</v>
      </c>
      <c r="J12" s="36"/>
    </row>
    <row r="13" spans="1:10" x14ac:dyDescent="0.25">
      <c r="A13">
        <f t="shared" si="2"/>
        <v>2018</v>
      </c>
      <c r="B13" s="34">
        <v>0.13</v>
      </c>
      <c r="C13" s="35">
        <f t="shared" si="0"/>
        <v>1.1299999999999999</v>
      </c>
      <c r="D13" s="36">
        <f>PRODUCT(C13:$C$15)</f>
        <v>1.229214</v>
      </c>
      <c r="E13" s="29"/>
      <c r="F13" s="29"/>
      <c r="G13" s="29">
        <f t="shared" si="3"/>
        <v>2018</v>
      </c>
      <c r="H13" s="34">
        <v>0.1</v>
      </c>
      <c r="I13" s="35">
        <f t="shared" si="1"/>
        <v>1.1000000000000001</v>
      </c>
      <c r="J13" s="36"/>
    </row>
    <row r="14" spans="1:10" x14ac:dyDescent="0.25">
      <c r="A14">
        <f t="shared" si="2"/>
        <v>2019</v>
      </c>
      <c r="B14" s="34">
        <v>0.11</v>
      </c>
      <c r="C14" s="35">
        <f t="shared" si="0"/>
        <v>1.1100000000000001</v>
      </c>
      <c r="D14" s="36">
        <f>PRODUCT(C14:$C$15)</f>
        <v>1.0878000000000001</v>
      </c>
      <c r="E14" s="29"/>
      <c r="F14" s="29"/>
      <c r="G14" s="29">
        <f t="shared" si="3"/>
        <v>2019</v>
      </c>
      <c r="H14" s="34">
        <v>0.1</v>
      </c>
      <c r="I14" s="35">
        <f t="shared" si="1"/>
        <v>1.1000000000000001</v>
      </c>
      <c r="J14" s="36"/>
    </row>
    <row r="15" spans="1:10" x14ac:dyDescent="0.25">
      <c r="A15">
        <f t="shared" si="2"/>
        <v>2020</v>
      </c>
      <c r="B15" s="34">
        <v>-0.02</v>
      </c>
      <c r="C15" s="35">
        <f t="shared" si="0"/>
        <v>0.98</v>
      </c>
      <c r="D15" s="36">
        <f>PRODUCT(C15:$C$15)</f>
        <v>0.98</v>
      </c>
      <c r="E15" s="29"/>
      <c r="F15" s="29"/>
      <c r="G15" s="29">
        <f t="shared" si="3"/>
        <v>2020</v>
      </c>
      <c r="H15" s="34">
        <v>0</v>
      </c>
      <c r="I15" s="35">
        <f t="shared" si="1"/>
        <v>1</v>
      </c>
      <c r="J15" s="36"/>
    </row>
    <row r="16" spans="1:10" x14ac:dyDescent="0.25">
      <c r="B16" s="22"/>
      <c r="C16" s="23"/>
      <c r="D16" s="24"/>
      <c r="H16" s="22"/>
      <c r="I16" s="23"/>
      <c r="J16" s="24"/>
    </row>
    <row r="17" spans="2:10" x14ac:dyDescent="0.25">
      <c r="B17" s="22"/>
      <c r="C17" s="23"/>
      <c r="D17" s="24"/>
      <c r="H17" s="22"/>
      <c r="I17" s="23"/>
      <c r="J17" s="24"/>
    </row>
    <row r="18" spans="2:10" x14ac:dyDescent="0.25">
      <c r="B18" s="22"/>
      <c r="C18" s="23"/>
      <c r="D18" s="24"/>
      <c r="H18" s="22"/>
      <c r="I18" s="23"/>
      <c r="J18" s="24"/>
    </row>
    <row r="19" spans="2:10" x14ac:dyDescent="0.25">
      <c r="B19" s="22"/>
      <c r="C19" s="23"/>
      <c r="D19" s="24"/>
      <c r="H19" s="22"/>
      <c r="I19" s="23"/>
      <c r="J19" s="24"/>
    </row>
    <row r="20" spans="2:10" x14ac:dyDescent="0.25">
      <c r="B20" s="22"/>
      <c r="C20" s="23"/>
      <c r="D20" s="24"/>
      <c r="H20" s="22"/>
      <c r="I20" s="23"/>
      <c r="J20" s="24"/>
    </row>
    <row r="21" spans="2:10" x14ac:dyDescent="0.25">
      <c r="B21" s="22"/>
      <c r="C21" s="23"/>
      <c r="D21" s="24"/>
      <c r="H21" s="22"/>
      <c r="I21" s="23"/>
      <c r="J21" s="24"/>
    </row>
    <row r="22" spans="2:10" x14ac:dyDescent="0.25">
      <c r="B22" s="22"/>
      <c r="C22" s="23"/>
      <c r="D22" s="24"/>
      <c r="H22" s="22"/>
      <c r="I22" s="23"/>
      <c r="J22" s="24"/>
    </row>
    <row r="23" spans="2:10" x14ac:dyDescent="0.25">
      <c r="B23" s="22"/>
      <c r="C23" s="23"/>
      <c r="D23" s="24"/>
      <c r="H23" s="22"/>
      <c r="I23" s="23"/>
      <c r="J23" s="24"/>
    </row>
    <row r="24" spans="2:10" x14ac:dyDescent="0.25">
      <c r="B24" s="22"/>
      <c r="C24" s="23"/>
      <c r="D24" s="24"/>
      <c r="H24" s="22"/>
      <c r="I24" s="23"/>
      <c r="J24" s="24"/>
    </row>
    <row r="25" spans="2:10" x14ac:dyDescent="0.25">
      <c r="B25" s="22"/>
      <c r="C25" s="23"/>
      <c r="D25" s="24"/>
      <c r="H25" s="22"/>
      <c r="I25" s="23"/>
      <c r="J25" s="24"/>
    </row>
    <row r="26" spans="2:10" x14ac:dyDescent="0.25">
      <c r="B26" s="22"/>
      <c r="C26" s="23"/>
      <c r="D26" s="24"/>
      <c r="H26" s="22"/>
      <c r="I26" s="23"/>
      <c r="J26" s="24"/>
    </row>
    <row r="27" spans="2:10" x14ac:dyDescent="0.25">
      <c r="B27" s="22"/>
      <c r="C27" s="23"/>
      <c r="D27" s="24"/>
      <c r="H27" s="22"/>
      <c r="I27" s="23"/>
      <c r="J27" s="24"/>
    </row>
    <row r="28" spans="2:10" x14ac:dyDescent="0.25">
      <c r="B28" s="22"/>
      <c r="C28" s="23"/>
      <c r="D28" s="24"/>
      <c r="H28" s="22"/>
      <c r="I28" s="23"/>
      <c r="J28" s="24"/>
    </row>
    <row r="29" spans="2:10" x14ac:dyDescent="0.25">
      <c r="B29" s="22"/>
      <c r="C29" s="23"/>
      <c r="D29" s="24"/>
      <c r="H29" s="22"/>
      <c r="I29" s="23"/>
      <c r="J29" s="24"/>
    </row>
    <row r="30" spans="2:10" x14ac:dyDescent="0.25">
      <c r="B30" s="22"/>
      <c r="C30" s="23"/>
      <c r="D30" s="24"/>
      <c r="H30" s="22"/>
      <c r="I30" s="23"/>
      <c r="J30" s="24"/>
    </row>
    <row r="31" spans="2:10" x14ac:dyDescent="0.25">
      <c r="B31" s="22"/>
      <c r="C31" s="23"/>
      <c r="D31" s="24"/>
      <c r="H31" s="22"/>
      <c r="I31" s="23"/>
      <c r="J31" s="24"/>
    </row>
    <row r="32" spans="2:10" x14ac:dyDescent="0.25">
      <c r="B32" s="22"/>
      <c r="C32" s="23"/>
      <c r="D32" s="24"/>
      <c r="H32" s="22"/>
      <c r="I32" s="23"/>
      <c r="J32" s="24"/>
    </row>
    <row r="33" spans="2:10" x14ac:dyDescent="0.25">
      <c r="B33" s="22"/>
      <c r="C33" s="23"/>
      <c r="D33" s="24"/>
      <c r="H33" s="22"/>
      <c r="I33" s="23"/>
      <c r="J33" s="24"/>
    </row>
    <row r="34" spans="2:10" x14ac:dyDescent="0.25">
      <c r="B34" s="22"/>
      <c r="C34" s="23"/>
      <c r="D34" s="24"/>
      <c r="H34" s="22"/>
      <c r="I34" s="23"/>
      <c r="J34" s="24"/>
    </row>
    <row r="35" spans="2:10" x14ac:dyDescent="0.25">
      <c r="B35" s="20"/>
      <c r="C35" s="20"/>
      <c r="D35" s="20"/>
      <c r="H35" s="20"/>
      <c r="I35" s="20"/>
      <c r="J35" s="20"/>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21" sqref="B21"/>
    </sheetView>
  </sheetViews>
  <sheetFormatPr defaultColWidth="11" defaultRowHeight="15.75" x14ac:dyDescent="0.25"/>
  <cols>
    <col min="1" max="1" width="31.125" customWidth="1"/>
  </cols>
  <sheetData>
    <row r="1" spans="1:2" x14ac:dyDescent="0.25">
      <c r="A1" s="8" t="s">
        <v>12</v>
      </c>
      <c r="B1" s="9"/>
    </row>
    <row r="2" spans="1:2" x14ac:dyDescent="0.25">
      <c r="A2" s="9"/>
      <c r="B2" s="9"/>
    </row>
    <row r="3" spans="1:2" x14ac:dyDescent="0.25">
      <c r="A3" s="9" t="s">
        <v>13</v>
      </c>
      <c r="B3" s="10">
        <v>44196</v>
      </c>
    </row>
    <row r="4" spans="1:2" x14ac:dyDescent="0.25">
      <c r="A4" s="9"/>
      <c r="B4" s="9"/>
    </row>
    <row r="5" spans="1:2" x14ac:dyDescent="0.25">
      <c r="A5" s="12" t="s">
        <v>14</v>
      </c>
      <c r="B5" s="9"/>
    </row>
    <row r="6" spans="1:2" x14ac:dyDescent="0.25">
      <c r="A6" s="9" t="s">
        <v>15</v>
      </c>
      <c r="B6" s="9">
        <v>200</v>
      </c>
    </row>
    <row r="7" spans="1:2" x14ac:dyDescent="0.25">
      <c r="A7" s="9" t="s">
        <v>16</v>
      </c>
      <c r="B7" s="9">
        <v>10000</v>
      </c>
    </row>
    <row r="8" spans="1:2" x14ac:dyDescent="0.25">
      <c r="A8" s="9" t="s">
        <v>17</v>
      </c>
      <c r="B8" s="10">
        <v>40179</v>
      </c>
    </row>
    <row r="9" spans="1:2" x14ac:dyDescent="0.25">
      <c r="A9" s="9" t="s">
        <v>18</v>
      </c>
      <c r="B9" s="10">
        <v>44196</v>
      </c>
    </row>
    <row r="10" spans="1:2" x14ac:dyDescent="0.25">
      <c r="A10" s="9"/>
      <c r="B10" s="9"/>
    </row>
    <row r="11" spans="1:2" x14ac:dyDescent="0.25">
      <c r="A11" s="9" t="s">
        <v>33</v>
      </c>
      <c r="B11" s="9">
        <v>1</v>
      </c>
    </row>
    <row r="12" spans="1:2" x14ac:dyDescent="0.25">
      <c r="A12" s="9" t="s">
        <v>34</v>
      </c>
      <c r="B12" s="9">
        <v>30</v>
      </c>
    </row>
    <row r="13" spans="1:2" x14ac:dyDescent="0.25">
      <c r="A13" s="9"/>
      <c r="B13" s="9"/>
    </row>
    <row r="14" spans="1:2" x14ac:dyDescent="0.25">
      <c r="A14" s="9" t="s">
        <v>80</v>
      </c>
      <c r="B14" s="11">
        <v>0.8</v>
      </c>
    </row>
    <row r="15" spans="1:2" x14ac:dyDescent="0.25">
      <c r="A15" s="9" t="s">
        <v>79</v>
      </c>
      <c r="B15" s="11">
        <v>0.2</v>
      </c>
    </row>
    <row r="16" spans="1:2" x14ac:dyDescent="0.25">
      <c r="A16" s="9"/>
      <c r="B16" s="9"/>
    </row>
    <row r="17" spans="1:2" x14ac:dyDescent="0.25">
      <c r="A17" s="9" t="s">
        <v>48</v>
      </c>
      <c r="B17" s="11">
        <v>1.5</v>
      </c>
    </row>
    <row r="18" spans="1:2" x14ac:dyDescent="0.25">
      <c r="A18" s="9"/>
      <c r="B18" s="11"/>
    </row>
    <row r="19" spans="1:2" x14ac:dyDescent="0.25">
      <c r="A19" s="30" t="s">
        <v>47</v>
      </c>
      <c r="B19" s="31">
        <v>0.9</v>
      </c>
    </row>
    <row r="20" spans="1:2" x14ac:dyDescent="0.25">
      <c r="A20" s="25"/>
      <c r="B20" s="26"/>
    </row>
    <row r="21" spans="1:2" x14ac:dyDescent="0.25">
      <c r="A21" s="30" t="s">
        <v>81</v>
      </c>
      <c r="B21" s="31">
        <v>0.21</v>
      </c>
    </row>
    <row r="22" spans="1:2" x14ac:dyDescent="0.25">
      <c r="A22" s="25"/>
      <c r="B22" s="26"/>
    </row>
    <row r="23" spans="1:2" x14ac:dyDescent="0.25">
      <c r="A23" s="30" t="s">
        <v>64</v>
      </c>
      <c r="B23" s="40">
        <v>2.5000000000000001E-2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topLeftCell="A12" workbookViewId="0">
      <selection activeCell="M27" sqref="M27"/>
    </sheetView>
  </sheetViews>
  <sheetFormatPr defaultColWidth="11" defaultRowHeight="15.75" x14ac:dyDescent="0.25"/>
  <cols>
    <col min="10" max="12" width="11" style="29"/>
  </cols>
  <sheetData>
    <row r="1" spans="1:15" x14ac:dyDescent="0.25">
      <c r="A1" s="1" t="s">
        <v>19</v>
      </c>
      <c r="O1" s="1" t="s">
        <v>62</v>
      </c>
    </row>
    <row r="2" spans="1:15" x14ac:dyDescent="0.25">
      <c r="E2" s="2" t="s">
        <v>20</v>
      </c>
      <c r="F2">
        <f>SUM(F4:F103)</f>
        <v>4</v>
      </c>
      <c r="G2">
        <f>SUM(G4:G103)</f>
        <v>3</v>
      </c>
      <c r="H2">
        <f>SUM(H4:H103)</f>
        <v>2</v>
      </c>
      <c r="I2">
        <f>SUM(I4:I103)</f>
        <v>2</v>
      </c>
      <c r="J2" s="2" t="s">
        <v>19</v>
      </c>
      <c r="O2">
        <f>SUM(O4:O103)</f>
        <v>0</v>
      </c>
    </row>
    <row r="3" spans="1:15" s="44" customFormat="1" ht="30" x14ac:dyDescent="0.25">
      <c r="A3" s="67" t="s">
        <v>1</v>
      </c>
      <c r="B3" s="67" t="s">
        <v>2</v>
      </c>
      <c r="C3" s="67" t="s">
        <v>21</v>
      </c>
      <c r="D3" s="67" t="s">
        <v>4</v>
      </c>
      <c r="E3" s="67" t="s">
        <v>5</v>
      </c>
      <c r="F3" s="67" t="s">
        <v>22</v>
      </c>
      <c r="G3" s="67" t="s">
        <v>23</v>
      </c>
      <c r="H3" s="67" t="s">
        <v>24</v>
      </c>
      <c r="I3" s="67" t="s">
        <v>49</v>
      </c>
      <c r="J3" s="67" t="s">
        <v>25</v>
      </c>
      <c r="K3" s="67" t="s">
        <v>26</v>
      </c>
      <c r="L3" s="67" t="s">
        <v>37</v>
      </c>
      <c r="M3" s="67" t="s">
        <v>50</v>
      </c>
      <c r="N3" s="7"/>
    </row>
    <row r="4" spans="1:15" x14ac:dyDescent="0.25">
      <c r="A4" s="41">
        <v>1</v>
      </c>
      <c r="B4" s="45">
        <f>'Data &amp; Formulae'!B12</f>
        <v>40179</v>
      </c>
      <c r="C4" s="46">
        <f>'Data &amp; Formulae'!C12</f>
        <v>980</v>
      </c>
      <c r="D4" s="41">
        <f>'Data &amp; Formulae'!D12</f>
        <v>18</v>
      </c>
      <c r="E4" s="47">
        <f>'Data &amp; Formulae'!E12</f>
        <v>1770.2474999999997</v>
      </c>
      <c r="F4" s="41">
        <f t="shared" ref="F4:F35" si="0">IF(OR(B4&lt;FirstStartDate,B4&gt;LastStartDate),1,0)</f>
        <v>0</v>
      </c>
      <c r="G4" s="41">
        <f t="shared" ref="G4:G35" si="1">IF(OR(C4&lt;MinPrem,C4&gt;MaxPrem),1,0)</f>
        <v>0</v>
      </c>
      <c r="H4" s="41">
        <f t="shared" ref="H4:H35" si="2">IF(OR(D4&lt;MinTerm,D4&gt;MaxTerm),1,0)</f>
        <v>0</v>
      </c>
      <c r="I4" s="41">
        <f>IF(E4&lt;0,1,0)</f>
        <v>0</v>
      </c>
      <c r="J4" s="48">
        <f t="shared" ref="J4:J13" si="3">IF(G4=0,C4,0)</f>
        <v>980</v>
      </c>
      <c r="K4" s="49">
        <v>40179</v>
      </c>
      <c r="L4" s="42">
        <f t="shared" ref="L4:L19" si="4">D4</f>
        <v>18</v>
      </c>
      <c r="M4" s="50">
        <f>IF(I4=0,E4,0)</f>
        <v>1770.2474999999997</v>
      </c>
      <c r="N4" s="38"/>
      <c r="O4">
        <f t="shared" ref="O4:O35" si="5">IF(YEAR(K4)+L4&lt;YEAR(ValDate),1,0)</f>
        <v>0</v>
      </c>
    </row>
    <row r="5" spans="1:15" x14ac:dyDescent="0.25">
      <c r="A5" s="41">
        <v>2</v>
      </c>
      <c r="B5" s="45">
        <f>'Data &amp; Formulae'!B13</f>
        <v>40179</v>
      </c>
      <c r="C5" s="46">
        <f>'Data &amp; Formulae'!C13</f>
        <v>1494</v>
      </c>
      <c r="D5" s="41">
        <f>'Data &amp; Formulae'!D13</f>
        <v>12</v>
      </c>
      <c r="E5" s="47">
        <f>'Data &amp; Formulae'!E13</f>
        <v>1788.6224999999997</v>
      </c>
      <c r="F5" s="41">
        <f t="shared" si="0"/>
        <v>0</v>
      </c>
      <c r="G5" s="41">
        <f t="shared" si="1"/>
        <v>0</v>
      </c>
      <c r="H5" s="41">
        <f t="shared" si="2"/>
        <v>0</v>
      </c>
      <c r="I5" s="41">
        <f t="shared" ref="I5:I68" si="6">IF(E5&lt;0,1,0)</f>
        <v>0</v>
      </c>
      <c r="J5" s="48">
        <f t="shared" si="3"/>
        <v>1494</v>
      </c>
      <c r="K5" s="49">
        <v>40179</v>
      </c>
      <c r="L5" s="42">
        <f t="shared" si="4"/>
        <v>12</v>
      </c>
      <c r="M5" s="50">
        <f t="shared" ref="M5:M68" si="7">IF(I5=0,E5,0)</f>
        <v>1788.6224999999997</v>
      </c>
      <c r="N5" s="38"/>
      <c r="O5">
        <f t="shared" si="5"/>
        <v>0</v>
      </c>
    </row>
    <row r="6" spans="1:15" x14ac:dyDescent="0.25">
      <c r="A6" s="41">
        <v>3</v>
      </c>
      <c r="B6" s="45">
        <f>'Data &amp; Formulae'!B14</f>
        <v>40179</v>
      </c>
      <c r="C6" s="46">
        <f>'Data &amp; Formulae'!C14</f>
        <v>4205</v>
      </c>
      <c r="D6" s="41">
        <f>'Data &amp; Formulae'!D14</f>
        <v>27</v>
      </c>
      <c r="E6" s="47">
        <f>'Data &amp; Formulae'!E14</f>
        <v>13593.457499999999</v>
      </c>
      <c r="F6" s="41">
        <f t="shared" si="0"/>
        <v>0</v>
      </c>
      <c r="G6" s="41">
        <f t="shared" si="1"/>
        <v>0</v>
      </c>
      <c r="H6" s="41">
        <f t="shared" si="2"/>
        <v>0</v>
      </c>
      <c r="I6" s="41">
        <f t="shared" si="6"/>
        <v>0</v>
      </c>
      <c r="J6" s="48">
        <f t="shared" si="3"/>
        <v>4205</v>
      </c>
      <c r="K6" s="49">
        <v>40179</v>
      </c>
      <c r="L6" s="42">
        <f t="shared" si="4"/>
        <v>27</v>
      </c>
      <c r="M6" s="50">
        <f t="shared" si="7"/>
        <v>13593.457499999999</v>
      </c>
      <c r="N6" s="38"/>
      <c r="O6">
        <f t="shared" si="5"/>
        <v>0</v>
      </c>
    </row>
    <row r="7" spans="1:15" x14ac:dyDescent="0.25">
      <c r="A7" s="41">
        <v>4</v>
      </c>
      <c r="B7" s="45">
        <f>'Data &amp; Formulae'!B15</f>
        <v>40179</v>
      </c>
      <c r="C7" s="46">
        <f>'Data &amp; Formulae'!C15</f>
        <v>4336</v>
      </c>
      <c r="D7" s="41">
        <f>'Data &amp; Formulae'!D15</f>
        <v>11</v>
      </c>
      <c r="E7" s="47">
        <f>'Data &amp; Formulae'!E15</f>
        <v>-29.4</v>
      </c>
      <c r="F7" s="41">
        <f t="shared" si="0"/>
        <v>0</v>
      </c>
      <c r="G7" s="41">
        <f t="shared" si="1"/>
        <v>0</v>
      </c>
      <c r="H7" s="41">
        <f t="shared" si="2"/>
        <v>0</v>
      </c>
      <c r="I7" s="41">
        <f t="shared" si="6"/>
        <v>1</v>
      </c>
      <c r="J7" s="48">
        <f t="shared" si="3"/>
        <v>4336</v>
      </c>
      <c r="K7" s="49">
        <v>40179</v>
      </c>
      <c r="L7" s="42">
        <f t="shared" si="4"/>
        <v>11</v>
      </c>
      <c r="M7" s="50">
        <f t="shared" si="7"/>
        <v>0</v>
      </c>
      <c r="N7" s="38"/>
      <c r="O7">
        <f t="shared" si="5"/>
        <v>0</v>
      </c>
    </row>
    <row r="8" spans="1:15" x14ac:dyDescent="0.25">
      <c r="A8" s="41">
        <v>5</v>
      </c>
      <c r="B8" s="45">
        <f>'Data &amp; Formulae'!B16</f>
        <v>40179</v>
      </c>
      <c r="C8" s="46">
        <f>'Data &amp; Formulae'!C16</f>
        <v>3522</v>
      </c>
      <c r="D8" s="41">
        <f>'Data &amp; Formulae'!D16</f>
        <v>17</v>
      </c>
      <c r="E8" s="47">
        <f>'Data &amp; Formulae'!E16</f>
        <v>61044.264897870926</v>
      </c>
      <c r="F8" s="41">
        <f t="shared" si="0"/>
        <v>0</v>
      </c>
      <c r="G8" s="41">
        <f t="shared" si="1"/>
        <v>0</v>
      </c>
      <c r="H8" s="41">
        <f t="shared" si="2"/>
        <v>0</v>
      </c>
      <c r="I8" s="41">
        <f t="shared" si="6"/>
        <v>0</v>
      </c>
      <c r="J8" s="48">
        <f t="shared" si="3"/>
        <v>3522</v>
      </c>
      <c r="K8" s="49">
        <v>40179</v>
      </c>
      <c r="L8" s="42">
        <f t="shared" si="4"/>
        <v>17</v>
      </c>
      <c r="M8" s="50">
        <f t="shared" si="7"/>
        <v>61044.264897870926</v>
      </c>
      <c r="N8" s="38"/>
      <c r="O8">
        <f t="shared" si="5"/>
        <v>0</v>
      </c>
    </row>
    <row r="9" spans="1:15" x14ac:dyDescent="0.25">
      <c r="A9" s="41">
        <v>6</v>
      </c>
      <c r="B9" s="45">
        <f>'Data &amp; Formulae'!B17</f>
        <v>40179</v>
      </c>
      <c r="C9" s="46">
        <f>'Data &amp; Formulae'!C17</f>
        <v>2425</v>
      </c>
      <c r="D9" s="41">
        <f>'Data &amp; Formulae'!D17</f>
        <v>10</v>
      </c>
      <c r="E9" s="47">
        <f>'Data &amp; Formulae'!E17</f>
        <v>2496.5499999999997</v>
      </c>
      <c r="F9" s="41">
        <f t="shared" si="0"/>
        <v>0</v>
      </c>
      <c r="G9" s="41">
        <f t="shared" si="1"/>
        <v>0</v>
      </c>
      <c r="H9" s="41">
        <f t="shared" si="2"/>
        <v>0</v>
      </c>
      <c r="I9" s="41">
        <f t="shared" si="6"/>
        <v>0</v>
      </c>
      <c r="J9" s="48">
        <f t="shared" si="3"/>
        <v>2425</v>
      </c>
      <c r="K9" s="49">
        <v>40179</v>
      </c>
      <c r="L9" s="42">
        <f t="shared" si="4"/>
        <v>10</v>
      </c>
      <c r="M9" s="50">
        <f t="shared" si="7"/>
        <v>2496.5499999999997</v>
      </c>
      <c r="N9" s="38"/>
      <c r="O9">
        <f t="shared" si="5"/>
        <v>0</v>
      </c>
    </row>
    <row r="10" spans="1:15" x14ac:dyDescent="0.25">
      <c r="A10" s="41">
        <v>7</v>
      </c>
      <c r="B10" s="45">
        <f>'Data &amp; Formulae'!B18</f>
        <v>40544</v>
      </c>
      <c r="C10" s="46">
        <f>'Data &amp; Formulae'!C18</f>
        <v>7593</v>
      </c>
      <c r="D10" s="41">
        <f>'Data &amp; Formulae'!D18</f>
        <v>28</v>
      </c>
      <c r="E10" s="47">
        <f>'Data &amp; Formulae'!E18</f>
        <v>1221.9375</v>
      </c>
      <c r="F10" s="41">
        <f t="shared" si="0"/>
        <v>0</v>
      </c>
      <c r="G10" s="41">
        <f t="shared" si="1"/>
        <v>0</v>
      </c>
      <c r="H10" s="41">
        <f t="shared" si="2"/>
        <v>0</v>
      </c>
      <c r="I10" s="41">
        <f t="shared" si="6"/>
        <v>0</v>
      </c>
      <c r="J10" s="48">
        <f t="shared" si="3"/>
        <v>7593</v>
      </c>
      <c r="K10" s="49">
        <v>40544</v>
      </c>
      <c r="L10" s="42">
        <f t="shared" si="4"/>
        <v>28</v>
      </c>
      <c r="M10" s="50">
        <f t="shared" si="7"/>
        <v>1221.9375</v>
      </c>
      <c r="N10" s="38"/>
      <c r="O10">
        <f t="shared" si="5"/>
        <v>0</v>
      </c>
    </row>
    <row r="11" spans="1:15" x14ac:dyDescent="0.25">
      <c r="A11" s="41">
        <v>8</v>
      </c>
      <c r="B11" s="45">
        <f>'Data &amp; Formulae'!B19</f>
        <v>40544</v>
      </c>
      <c r="C11" s="46">
        <f>'Data &amp; Formulae'!C19</f>
        <v>2974</v>
      </c>
      <c r="D11" s="41">
        <f>'Data &amp; Formulae'!D19</f>
        <v>18</v>
      </c>
      <c r="E11" s="47">
        <f>'Data &amp; Formulae'!E19</f>
        <v>2452.9399999999996</v>
      </c>
      <c r="F11" s="41">
        <f t="shared" si="0"/>
        <v>0</v>
      </c>
      <c r="G11" s="41">
        <f t="shared" si="1"/>
        <v>0</v>
      </c>
      <c r="H11" s="41">
        <f t="shared" si="2"/>
        <v>0</v>
      </c>
      <c r="I11" s="41">
        <f t="shared" si="6"/>
        <v>0</v>
      </c>
      <c r="J11" s="48">
        <f t="shared" si="3"/>
        <v>2974</v>
      </c>
      <c r="K11" s="49">
        <v>40544</v>
      </c>
      <c r="L11" s="42">
        <f t="shared" si="4"/>
        <v>18</v>
      </c>
      <c r="M11" s="50">
        <f t="shared" si="7"/>
        <v>2452.9399999999996</v>
      </c>
      <c r="N11" s="38"/>
      <c r="O11">
        <f t="shared" si="5"/>
        <v>0</v>
      </c>
    </row>
    <row r="12" spans="1:15" x14ac:dyDescent="0.25">
      <c r="A12" s="41">
        <v>9</v>
      </c>
      <c r="B12" s="45">
        <f>'Data &amp; Formulae'!B20</f>
        <v>40544</v>
      </c>
      <c r="C12" s="46">
        <f>'Data &amp; Formulae'!C20</f>
        <v>4813</v>
      </c>
      <c r="D12" s="41">
        <f>'Data &amp; Formulae'!D20</f>
        <v>27</v>
      </c>
      <c r="E12" s="47">
        <f>'Data &amp; Formulae'!E20</f>
        <v>72048.915598593303</v>
      </c>
      <c r="F12" s="41">
        <f t="shared" si="0"/>
        <v>0</v>
      </c>
      <c r="G12" s="41">
        <f t="shared" si="1"/>
        <v>0</v>
      </c>
      <c r="H12" s="41">
        <f t="shared" si="2"/>
        <v>0</v>
      </c>
      <c r="I12" s="41">
        <f t="shared" si="6"/>
        <v>0</v>
      </c>
      <c r="J12" s="48">
        <f t="shared" si="3"/>
        <v>4813</v>
      </c>
      <c r="K12" s="49">
        <v>40544</v>
      </c>
      <c r="L12" s="42">
        <f t="shared" si="4"/>
        <v>27</v>
      </c>
      <c r="M12" s="50">
        <v>62400</v>
      </c>
      <c r="N12" s="38"/>
      <c r="O12">
        <f t="shared" si="5"/>
        <v>0</v>
      </c>
    </row>
    <row r="13" spans="1:15" x14ac:dyDescent="0.25">
      <c r="A13" s="41">
        <v>10</v>
      </c>
      <c r="B13" s="45">
        <f>'Data &amp; Formulae'!B21</f>
        <v>40544</v>
      </c>
      <c r="C13" s="46">
        <f>'Data &amp; Formulae'!C21</f>
        <v>8845</v>
      </c>
      <c r="D13" s="41">
        <f>'Data &amp; Formulae'!D21</f>
        <v>30</v>
      </c>
      <c r="E13" s="47">
        <f>'Data &amp; Formulae'!E21</f>
        <v>32227.054999999993</v>
      </c>
      <c r="F13" s="41">
        <f t="shared" si="0"/>
        <v>0</v>
      </c>
      <c r="G13" s="41">
        <f t="shared" si="1"/>
        <v>0</v>
      </c>
      <c r="H13" s="41">
        <f t="shared" si="2"/>
        <v>0</v>
      </c>
      <c r="I13" s="41">
        <f t="shared" si="6"/>
        <v>0</v>
      </c>
      <c r="J13" s="48">
        <f t="shared" si="3"/>
        <v>8845</v>
      </c>
      <c r="K13" s="49">
        <v>40544</v>
      </c>
      <c r="L13" s="42">
        <f t="shared" si="4"/>
        <v>30</v>
      </c>
      <c r="M13" s="50">
        <f t="shared" si="7"/>
        <v>32227.054999999993</v>
      </c>
      <c r="N13" s="38"/>
      <c r="O13">
        <f t="shared" si="5"/>
        <v>0</v>
      </c>
    </row>
    <row r="14" spans="1:15" x14ac:dyDescent="0.25">
      <c r="A14" s="41">
        <v>11</v>
      </c>
      <c r="B14" s="45">
        <f>'Data &amp; Formulae'!B22</f>
        <v>40544</v>
      </c>
      <c r="C14" s="46">
        <f>'Data &amp; Formulae'!C22</f>
        <v>11890</v>
      </c>
      <c r="D14" s="41">
        <f>'Data &amp; Formulae'!D22</f>
        <v>30</v>
      </c>
      <c r="E14" s="47">
        <f>'Data &amp; Formulae'!E22</f>
        <v>4064.1824999999994</v>
      </c>
      <c r="F14" s="41">
        <f t="shared" si="0"/>
        <v>0</v>
      </c>
      <c r="G14" s="51">
        <f t="shared" si="1"/>
        <v>1</v>
      </c>
      <c r="H14" s="41">
        <f t="shared" si="2"/>
        <v>0</v>
      </c>
      <c r="I14" s="41">
        <f t="shared" si="6"/>
        <v>0</v>
      </c>
      <c r="J14" s="52">
        <f>MaxPrem</f>
        <v>10000</v>
      </c>
      <c r="K14" s="49">
        <v>40544</v>
      </c>
      <c r="L14" s="42">
        <f t="shared" si="4"/>
        <v>30</v>
      </c>
      <c r="M14" s="50">
        <f t="shared" si="7"/>
        <v>4064.1824999999994</v>
      </c>
      <c r="N14" s="38"/>
      <c r="O14">
        <f t="shared" si="5"/>
        <v>0</v>
      </c>
    </row>
    <row r="15" spans="1:15" x14ac:dyDescent="0.25">
      <c r="A15" s="41">
        <v>12</v>
      </c>
      <c r="B15" s="45">
        <f>'Data &amp; Formulae'!B23</f>
        <v>40544</v>
      </c>
      <c r="C15" s="46">
        <f>'Data &amp; Formulae'!C23</f>
        <v>8151</v>
      </c>
      <c r="D15" s="41">
        <f>'Data &amp; Formulae'!D23</f>
        <v>18</v>
      </c>
      <c r="E15" s="47">
        <f>'Data &amp; Formulae'!E23</f>
        <v>122017.60046626512</v>
      </c>
      <c r="F15" s="41">
        <f t="shared" si="0"/>
        <v>0</v>
      </c>
      <c r="G15" s="41">
        <f t="shared" si="1"/>
        <v>0</v>
      </c>
      <c r="H15" s="41">
        <f t="shared" si="2"/>
        <v>0</v>
      </c>
      <c r="I15" s="41">
        <f t="shared" si="6"/>
        <v>0</v>
      </c>
      <c r="J15" s="48">
        <f t="shared" ref="J15:J23" si="8">IF(G15=0,C15,0)</f>
        <v>8151</v>
      </c>
      <c r="K15" s="49">
        <v>40544</v>
      </c>
      <c r="L15" s="42">
        <f t="shared" si="4"/>
        <v>18</v>
      </c>
      <c r="M15" s="50">
        <f t="shared" si="7"/>
        <v>122017.60046626512</v>
      </c>
      <c r="N15" s="38"/>
      <c r="O15">
        <f t="shared" si="5"/>
        <v>0</v>
      </c>
    </row>
    <row r="16" spans="1:15" x14ac:dyDescent="0.25">
      <c r="A16" s="41">
        <v>13</v>
      </c>
      <c r="B16" s="45">
        <f>'Data &amp; Formulae'!B24</f>
        <v>40544</v>
      </c>
      <c r="C16" s="46">
        <f>'Data &amp; Formulae'!C24</f>
        <v>8124</v>
      </c>
      <c r="D16" s="41">
        <f>'Data &amp; Formulae'!D24</f>
        <v>11</v>
      </c>
      <c r="E16" s="47">
        <f>'Data &amp; Formulae'!E24</f>
        <v>710.255</v>
      </c>
      <c r="F16" s="41">
        <f t="shared" si="0"/>
        <v>0</v>
      </c>
      <c r="G16" s="41">
        <f t="shared" si="1"/>
        <v>0</v>
      </c>
      <c r="H16" s="41">
        <f t="shared" si="2"/>
        <v>0</v>
      </c>
      <c r="I16" s="41">
        <f t="shared" si="6"/>
        <v>0</v>
      </c>
      <c r="J16" s="48">
        <f t="shared" si="8"/>
        <v>8124</v>
      </c>
      <c r="K16" s="49">
        <v>40544</v>
      </c>
      <c r="L16" s="42">
        <f t="shared" si="4"/>
        <v>11</v>
      </c>
      <c r="M16" s="50">
        <f t="shared" si="7"/>
        <v>710.255</v>
      </c>
      <c r="N16" s="38"/>
      <c r="O16">
        <f t="shared" si="5"/>
        <v>0</v>
      </c>
    </row>
    <row r="17" spans="1:15" x14ac:dyDescent="0.25">
      <c r="A17" s="41">
        <v>14</v>
      </c>
      <c r="B17" s="45">
        <f>'Data &amp; Formulae'!B25</f>
        <v>40544</v>
      </c>
      <c r="C17" s="46">
        <f>'Data &amp; Formulae'!C25</f>
        <v>7108</v>
      </c>
      <c r="D17" s="41">
        <f>'Data &amp; Formulae'!D25</f>
        <v>25</v>
      </c>
      <c r="E17" s="47">
        <f>'Data &amp; Formulae'!E25</f>
        <v>21483.192499999997</v>
      </c>
      <c r="F17" s="41">
        <f t="shared" si="0"/>
        <v>0</v>
      </c>
      <c r="G17" s="41">
        <f t="shared" si="1"/>
        <v>0</v>
      </c>
      <c r="H17" s="41">
        <f t="shared" si="2"/>
        <v>0</v>
      </c>
      <c r="I17" s="41">
        <f t="shared" si="6"/>
        <v>0</v>
      </c>
      <c r="J17" s="48">
        <f t="shared" si="8"/>
        <v>7108</v>
      </c>
      <c r="K17" s="49">
        <v>40544</v>
      </c>
      <c r="L17" s="42">
        <f t="shared" si="4"/>
        <v>25</v>
      </c>
      <c r="M17" s="50">
        <f t="shared" si="7"/>
        <v>21483.192499999997</v>
      </c>
      <c r="N17" s="38"/>
      <c r="O17">
        <f t="shared" si="5"/>
        <v>0</v>
      </c>
    </row>
    <row r="18" spans="1:15" x14ac:dyDescent="0.25">
      <c r="A18" s="41">
        <v>15</v>
      </c>
      <c r="B18" s="45">
        <f>'Data &amp; Formulae'!B26</f>
        <v>40544</v>
      </c>
      <c r="C18" s="46">
        <f>'Data &amp; Formulae'!C26</f>
        <v>9533</v>
      </c>
      <c r="D18" s="41">
        <f>'Data &amp; Formulae'!D26</f>
        <v>18</v>
      </c>
      <c r="E18" s="47">
        <f>'Data &amp; Formulae'!E26</f>
        <v>20504.785</v>
      </c>
      <c r="F18" s="41">
        <f t="shared" si="0"/>
        <v>0</v>
      </c>
      <c r="G18" s="41">
        <f t="shared" si="1"/>
        <v>0</v>
      </c>
      <c r="H18" s="41">
        <f t="shared" si="2"/>
        <v>0</v>
      </c>
      <c r="I18" s="41">
        <f t="shared" si="6"/>
        <v>0</v>
      </c>
      <c r="J18" s="48">
        <f t="shared" si="8"/>
        <v>9533</v>
      </c>
      <c r="K18" s="49">
        <v>40544</v>
      </c>
      <c r="L18" s="42">
        <f t="shared" si="4"/>
        <v>18</v>
      </c>
      <c r="M18" s="50">
        <f t="shared" si="7"/>
        <v>20504.785</v>
      </c>
      <c r="N18" s="38"/>
      <c r="O18">
        <f t="shared" si="5"/>
        <v>0</v>
      </c>
    </row>
    <row r="19" spans="1:15" x14ac:dyDescent="0.25">
      <c r="A19" s="41">
        <v>16</v>
      </c>
      <c r="B19" s="45">
        <f>'Data &amp; Formulae'!B27</f>
        <v>40544</v>
      </c>
      <c r="C19" s="46">
        <f>'Data &amp; Formulae'!C27</f>
        <v>8636</v>
      </c>
      <c r="D19" s="41">
        <f>'Data &amp; Formulae'!D27</f>
        <v>13</v>
      </c>
      <c r="E19" s="47">
        <f>'Data &amp; Formulae'!E27</f>
        <v>13460.789999999997</v>
      </c>
      <c r="F19" s="41">
        <f t="shared" si="0"/>
        <v>0</v>
      </c>
      <c r="G19" s="41">
        <f t="shared" si="1"/>
        <v>0</v>
      </c>
      <c r="H19" s="41">
        <f t="shared" si="2"/>
        <v>0</v>
      </c>
      <c r="I19" s="41">
        <f t="shared" si="6"/>
        <v>0</v>
      </c>
      <c r="J19" s="48">
        <f t="shared" si="8"/>
        <v>8636</v>
      </c>
      <c r="K19" s="49">
        <v>40544</v>
      </c>
      <c r="L19" s="42">
        <f t="shared" si="4"/>
        <v>13</v>
      </c>
      <c r="M19" s="50">
        <f t="shared" si="7"/>
        <v>13460.789999999997</v>
      </c>
      <c r="N19" s="38"/>
      <c r="O19">
        <f t="shared" si="5"/>
        <v>0</v>
      </c>
    </row>
    <row r="20" spans="1:15" x14ac:dyDescent="0.25">
      <c r="A20" s="41">
        <v>17</v>
      </c>
      <c r="B20" s="45">
        <f>'Data &amp; Formulae'!B28</f>
        <v>40909</v>
      </c>
      <c r="C20" s="46">
        <f>'Data &amp; Formulae'!C28</f>
        <v>280</v>
      </c>
      <c r="D20" s="41">
        <f>'Data &amp; Formulae'!D28</f>
        <v>33</v>
      </c>
      <c r="E20" s="47">
        <f>'Data &amp; Formulae'!E28</f>
        <v>3509.5066178488787</v>
      </c>
      <c r="F20" s="41">
        <f t="shared" si="0"/>
        <v>0</v>
      </c>
      <c r="G20" s="41">
        <f t="shared" si="1"/>
        <v>0</v>
      </c>
      <c r="H20" s="51">
        <f t="shared" si="2"/>
        <v>1</v>
      </c>
      <c r="I20" s="41">
        <f t="shared" si="6"/>
        <v>0</v>
      </c>
      <c r="J20" s="48">
        <f t="shared" si="8"/>
        <v>280</v>
      </c>
      <c r="K20" s="49">
        <v>40909</v>
      </c>
      <c r="L20" s="53">
        <f>MaxTerm</f>
        <v>30</v>
      </c>
      <c r="M20" s="50">
        <f t="shared" si="7"/>
        <v>3509.5066178488787</v>
      </c>
      <c r="N20" s="38"/>
      <c r="O20">
        <f t="shared" si="5"/>
        <v>0</v>
      </c>
    </row>
    <row r="21" spans="1:15" x14ac:dyDescent="0.25">
      <c r="A21" s="41">
        <v>18</v>
      </c>
      <c r="B21" s="45">
        <f>'Data &amp; Formulae'!B29</f>
        <v>40909</v>
      </c>
      <c r="C21" s="46">
        <f>'Data &amp; Formulae'!C29</f>
        <v>2188</v>
      </c>
      <c r="D21" s="41">
        <f>'Data &amp; Formulae'!D29</f>
        <v>11</v>
      </c>
      <c r="E21" s="47">
        <f>'Data &amp; Formulae'!E29</f>
        <v>2525.5825</v>
      </c>
      <c r="F21" s="41">
        <f t="shared" si="0"/>
        <v>0</v>
      </c>
      <c r="G21" s="41">
        <f t="shared" si="1"/>
        <v>0</v>
      </c>
      <c r="H21" s="41">
        <f t="shared" si="2"/>
        <v>0</v>
      </c>
      <c r="I21" s="41">
        <f t="shared" si="6"/>
        <v>0</v>
      </c>
      <c r="J21" s="48">
        <f t="shared" si="8"/>
        <v>2188</v>
      </c>
      <c r="K21" s="49">
        <v>40909</v>
      </c>
      <c r="L21" s="42">
        <f t="shared" ref="L21:L53" si="9">D21</f>
        <v>11</v>
      </c>
      <c r="M21" s="50">
        <f t="shared" si="7"/>
        <v>2525.5825</v>
      </c>
      <c r="N21" s="38"/>
      <c r="O21">
        <f t="shared" si="5"/>
        <v>0</v>
      </c>
    </row>
    <row r="22" spans="1:15" x14ac:dyDescent="0.25">
      <c r="A22" s="41">
        <v>19</v>
      </c>
      <c r="B22" s="45">
        <f>'Data &amp; Formulae'!B30</f>
        <v>40909</v>
      </c>
      <c r="C22" s="46">
        <f>'Data &amp; Formulae'!C30</f>
        <v>7150</v>
      </c>
      <c r="D22" s="41">
        <f>'Data &amp; Formulae'!D30</f>
        <v>21</v>
      </c>
      <c r="E22" s="47">
        <f>'Data &amp; Formulae'!E30</f>
        <v>1464.12</v>
      </c>
      <c r="F22" s="41">
        <f t="shared" si="0"/>
        <v>0</v>
      </c>
      <c r="G22" s="41">
        <f t="shared" si="1"/>
        <v>0</v>
      </c>
      <c r="H22" s="41">
        <f t="shared" si="2"/>
        <v>0</v>
      </c>
      <c r="I22" s="41">
        <f t="shared" si="6"/>
        <v>0</v>
      </c>
      <c r="J22" s="48">
        <f t="shared" si="8"/>
        <v>7150</v>
      </c>
      <c r="K22" s="49">
        <v>40909</v>
      </c>
      <c r="L22" s="42">
        <f t="shared" si="9"/>
        <v>21</v>
      </c>
      <c r="M22" s="50">
        <f t="shared" si="7"/>
        <v>1464.12</v>
      </c>
      <c r="N22" s="38"/>
      <c r="O22">
        <f t="shared" si="5"/>
        <v>0</v>
      </c>
    </row>
    <row r="23" spans="1:15" x14ac:dyDescent="0.25">
      <c r="A23" s="41">
        <v>20</v>
      </c>
      <c r="B23" s="45">
        <f>'Data &amp; Formulae'!B31</f>
        <v>40909</v>
      </c>
      <c r="C23" s="46">
        <f>'Data &amp; Formulae'!C31</f>
        <v>9441</v>
      </c>
      <c r="D23" s="41">
        <f>'Data &amp; Formulae'!D31</f>
        <v>30</v>
      </c>
      <c r="E23" s="47">
        <f>'Data &amp; Formulae'!E31</f>
        <v>34394.814999999995</v>
      </c>
      <c r="F23" s="41">
        <f t="shared" si="0"/>
        <v>0</v>
      </c>
      <c r="G23" s="41">
        <f t="shared" si="1"/>
        <v>0</v>
      </c>
      <c r="H23" s="41">
        <f t="shared" si="2"/>
        <v>0</v>
      </c>
      <c r="I23" s="41">
        <f t="shared" si="6"/>
        <v>0</v>
      </c>
      <c r="J23" s="48">
        <f t="shared" si="8"/>
        <v>9441</v>
      </c>
      <c r="K23" s="49">
        <v>40909</v>
      </c>
      <c r="L23" s="42">
        <f t="shared" si="9"/>
        <v>30</v>
      </c>
      <c r="M23" s="50">
        <f t="shared" si="7"/>
        <v>34394.814999999995</v>
      </c>
      <c r="N23" s="38"/>
      <c r="O23">
        <f t="shared" si="5"/>
        <v>0</v>
      </c>
    </row>
    <row r="24" spans="1:15" x14ac:dyDescent="0.25">
      <c r="A24" s="41">
        <v>21</v>
      </c>
      <c r="B24" s="45">
        <f>'Data &amp; Formulae'!B32</f>
        <v>40909</v>
      </c>
      <c r="C24" s="46">
        <f>'Data &amp; Formulae'!C32</f>
        <v>111</v>
      </c>
      <c r="D24" s="41">
        <f>'Data &amp; Formulae'!D32</f>
        <v>25</v>
      </c>
      <c r="E24" s="47">
        <f>'Data &amp; Formulae'!E32</f>
        <v>-75.949999999999989</v>
      </c>
      <c r="F24" s="41">
        <f t="shared" si="0"/>
        <v>0</v>
      </c>
      <c r="G24" s="51">
        <f t="shared" si="1"/>
        <v>1</v>
      </c>
      <c r="H24" s="41">
        <f t="shared" si="2"/>
        <v>0</v>
      </c>
      <c r="I24" s="51">
        <f t="shared" si="6"/>
        <v>1</v>
      </c>
      <c r="J24" s="52">
        <f>MinPrem</f>
        <v>200</v>
      </c>
      <c r="K24" s="49">
        <v>40909</v>
      </c>
      <c r="L24" s="42">
        <f t="shared" si="9"/>
        <v>25</v>
      </c>
      <c r="M24" s="50">
        <f t="shared" si="7"/>
        <v>0</v>
      </c>
      <c r="N24" s="38"/>
      <c r="O24">
        <f t="shared" si="5"/>
        <v>0</v>
      </c>
    </row>
    <row r="25" spans="1:15" x14ac:dyDescent="0.25">
      <c r="A25" s="41">
        <v>22</v>
      </c>
      <c r="B25" s="45">
        <f>'Data &amp; Formulae'!B33</f>
        <v>40909</v>
      </c>
      <c r="C25" s="46">
        <f>'Data &amp; Formulae'!C33</f>
        <v>6629</v>
      </c>
      <c r="D25" s="41">
        <f>'Data &amp; Formulae'!D33</f>
        <v>16</v>
      </c>
      <c r="E25" s="47">
        <f>'Data &amp; Formulae'!E33</f>
        <v>4363.8174999999992</v>
      </c>
      <c r="F25" s="41">
        <f t="shared" si="0"/>
        <v>0</v>
      </c>
      <c r="G25" s="41">
        <f t="shared" si="1"/>
        <v>0</v>
      </c>
      <c r="H25" s="41">
        <f t="shared" si="2"/>
        <v>0</v>
      </c>
      <c r="I25" s="41">
        <f t="shared" si="6"/>
        <v>0</v>
      </c>
      <c r="J25" s="48">
        <f t="shared" ref="J25:J34" si="10">IF(G25=0,C25,0)</f>
        <v>6629</v>
      </c>
      <c r="K25" s="49">
        <v>40909</v>
      </c>
      <c r="L25" s="42">
        <f t="shared" si="9"/>
        <v>16</v>
      </c>
      <c r="M25" s="50">
        <f t="shared" si="7"/>
        <v>4363.8174999999992</v>
      </c>
      <c r="N25" s="38"/>
      <c r="O25">
        <f t="shared" si="5"/>
        <v>0</v>
      </c>
    </row>
    <row r="26" spans="1:15" x14ac:dyDescent="0.25">
      <c r="A26" s="41">
        <v>23</v>
      </c>
      <c r="B26" s="45">
        <f>'Data &amp; Formulae'!B34</f>
        <v>40909</v>
      </c>
      <c r="C26" s="46">
        <f>'Data &amp; Formulae'!C34</f>
        <v>9901</v>
      </c>
      <c r="D26" s="41">
        <f>'Data &amp; Formulae'!D34</f>
        <v>22</v>
      </c>
      <c r="E26" s="47">
        <f>'Data &amp; Formulae'!E34</f>
        <v>1907.4474999999998</v>
      </c>
      <c r="F26" s="41">
        <f t="shared" si="0"/>
        <v>0</v>
      </c>
      <c r="G26" s="41">
        <f t="shared" si="1"/>
        <v>0</v>
      </c>
      <c r="H26" s="41">
        <f t="shared" si="2"/>
        <v>0</v>
      </c>
      <c r="I26" s="41">
        <f t="shared" si="6"/>
        <v>0</v>
      </c>
      <c r="J26" s="48">
        <f t="shared" si="10"/>
        <v>9901</v>
      </c>
      <c r="K26" s="49">
        <v>40909</v>
      </c>
      <c r="L26" s="42">
        <f t="shared" si="9"/>
        <v>22</v>
      </c>
      <c r="M26" s="50">
        <f t="shared" si="7"/>
        <v>1907.4474999999998</v>
      </c>
      <c r="N26" s="38"/>
      <c r="O26">
        <f t="shared" si="5"/>
        <v>0</v>
      </c>
    </row>
    <row r="27" spans="1:15" x14ac:dyDescent="0.25">
      <c r="A27" s="41">
        <v>24</v>
      </c>
      <c r="B27" s="45">
        <f>'Data &amp; Formulae'!B35</f>
        <v>40909</v>
      </c>
      <c r="C27" s="46">
        <f>'Data &amp; Formulae'!C35</f>
        <v>6786</v>
      </c>
      <c r="D27" s="41">
        <f>'Data &amp; Formulae'!D35</f>
        <v>14</v>
      </c>
      <c r="E27" s="47">
        <f>'Data &amp; Formulae'!E35</f>
        <v>85055.399674008906</v>
      </c>
      <c r="F27" s="41">
        <f t="shared" si="0"/>
        <v>0</v>
      </c>
      <c r="G27" s="41">
        <f t="shared" si="1"/>
        <v>0</v>
      </c>
      <c r="H27" s="41">
        <f t="shared" si="2"/>
        <v>0</v>
      </c>
      <c r="I27" s="41">
        <f t="shared" si="6"/>
        <v>0</v>
      </c>
      <c r="J27" s="48">
        <f t="shared" si="10"/>
        <v>6786</v>
      </c>
      <c r="K27" s="49">
        <v>40909</v>
      </c>
      <c r="L27" s="42">
        <f t="shared" si="9"/>
        <v>14</v>
      </c>
      <c r="M27" s="50">
        <v>90055</v>
      </c>
      <c r="N27" s="38"/>
      <c r="O27">
        <f t="shared" si="5"/>
        <v>0</v>
      </c>
    </row>
    <row r="28" spans="1:15" x14ac:dyDescent="0.25">
      <c r="A28" s="41">
        <v>25</v>
      </c>
      <c r="B28" s="45">
        <f>'Data &amp; Formulae'!B36</f>
        <v>40909</v>
      </c>
      <c r="C28" s="46">
        <f>'Data &amp; Formulae'!C36</f>
        <v>5450</v>
      </c>
      <c r="D28" s="41">
        <f>'Data &amp; Formulae'!D36</f>
        <v>16</v>
      </c>
      <c r="E28" s="47">
        <f>'Data &amp; Formulae'!E36</f>
        <v>10244.674999999997</v>
      </c>
      <c r="F28" s="41">
        <f t="shared" si="0"/>
        <v>0</v>
      </c>
      <c r="G28" s="41">
        <f t="shared" si="1"/>
        <v>0</v>
      </c>
      <c r="H28" s="41">
        <f t="shared" si="2"/>
        <v>0</v>
      </c>
      <c r="I28" s="41">
        <f t="shared" si="6"/>
        <v>0</v>
      </c>
      <c r="J28" s="48">
        <f t="shared" si="10"/>
        <v>5450</v>
      </c>
      <c r="K28" s="49">
        <v>40909</v>
      </c>
      <c r="L28" s="42">
        <f t="shared" si="9"/>
        <v>16</v>
      </c>
      <c r="M28" s="50">
        <f t="shared" si="7"/>
        <v>10244.674999999997</v>
      </c>
      <c r="N28" s="38"/>
      <c r="O28">
        <f t="shared" si="5"/>
        <v>0</v>
      </c>
    </row>
    <row r="29" spans="1:15" x14ac:dyDescent="0.25">
      <c r="A29" s="41">
        <v>26</v>
      </c>
      <c r="B29" s="45">
        <f>'Data &amp; Formulae'!B37</f>
        <v>41275</v>
      </c>
      <c r="C29" s="46">
        <f>'Data &amp; Formulae'!C37</f>
        <v>6059</v>
      </c>
      <c r="D29" s="41">
        <f>'Data &amp; Formulae'!D37</f>
        <v>21</v>
      </c>
      <c r="E29" s="47">
        <f>'Data &amp; Formulae'!E37</f>
        <v>15257.374999999998</v>
      </c>
      <c r="F29" s="41">
        <f t="shared" si="0"/>
        <v>0</v>
      </c>
      <c r="G29" s="41">
        <f t="shared" si="1"/>
        <v>0</v>
      </c>
      <c r="H29" s="41">
        <f t="shared" si="2"/>
        <v>0</v>
      </c>
      <c r="I29" s="41">
        <f t="shared" si="6"/>
        <v>0</v>
      </c>
      <c r="J29" s="48">
        <f t="shared" si="10"/>
        <v>6059</v>
      </c>
      <c r="K29" s="49">
        <v>41275</v>
      </c>
      <c r="L29" s="42">
        <f t="shared" si="9"/>
        <v>21</v>
      </c>
      <c r="M29" s="50">
        <f t="shared" si="7"/>
        <v>15257.374999999998</v>
      </c>
      <c r="N29" s="38"/>
      <c r="O29">
        <f t="shared" si="5"/>
        <v>0</v>
      </c>
    </row>
    <row r="30" spans="1:15" x14ac:dyDescent="0.25">
      <c r="A30" s="41">
        <v>27</v>
      </c>
      <c r="B30" s="45">
        <f>'Data &amp; Formulae'!B38</f>
        <v>41275</v>
      </c>
      <c r="C30" s="46">
        <f>'Data &amp; Formulae'!C38</f>
        <v>4626</v>
      </c>
      <c r="D30" s="41">
        <f>'Data &amp; Formulae'!D38</f>
        <v>27</v>
      </c>
      <c r="E30" s="47">
        <f>'Data &amp; Formulae'!E38</f>
        <v>5098.9399999999996</v>
      </c>
      <c r="F30" s="41">
        <f t="shared" si="0"/>
        <v>0</v>
      </c>
      <c r="G30" s="41">
        <f t="shared" si="1"/>
        <v>0</v>
      </c>
      <c r="H30" s="41">
        <f t="shared" si="2"/>
        <v>0</v>
      </c>
      <c r="I30" s="41">
        <f t="shared" si="6"/>
        <v>0</v>
      </c>
      <c r="J30" s="48">
        <f t="shared" si="10"/>
        <v>4626</v>
      </c>
      <c r="K30" s="49">
        <v>41275</v>
      </c>
      <c r="L30" s="42">
        <f t="shared" si="9"/>
        <v>27</v>
      </c>
      <c r="M30" s="50">
        <f t="shared" si="7"/>
        <v>5098.9399999999996</v>
      </c>
      <c r="N30" s="38"/>
      <c r="O30">
        <f t="shared" si="5"/>
        <v>0</v>
      </c>
    </row>
    <row r="31" spans="1:15" x14ac:dyDescent="0.25">
      <c r="A31" s="41">
        <v>28</v>
      </c>
      <c r="B31" s="45">
        <f>'Data &amp; Formulae'!B39</f>
        <v>41275</v>
      </c>
      <c r="C31" s="46">
        <f>'Data &amp; Formulae'!C39</f>
        <v>1480</v>
      </c>
      <c r="D31" s="41">
        <f>'Data &amp; Formulae'!D39</f>
        <v>13</v>
      </c>
      <c r="E31" s="47">
        <f>'Data &amp; Formulae'!E39</f>
        <v>378.64749999999992</v>
      </c>
      <c r="F31" s="41">
        <f t="shared" si="0"/>
        <v>0</v>
      </c>
      <c r="G31" s="41">
        <f t="shared" si="1"/>
        <v>0</v>
      </c>
      <c r="H31" s="41">
        <f t="shared" si="2"/>
        <v>0</v>
      </c>
      <c r="I31" s="41">
        <f t="shared" si="6"/>
        <v>0</v>
      </c>
      <c r="J31" s="48">
        <f t="shared" si="10"/>
        <v>1480</v>
      </c>
      <c r="K31" s="49">
        <v>41275</v>
      </c>
      <c r="L31" s="42">
        <f t="shared" si="9"/>
        <v>13</v>
      </c>
      <c r="M31" s="50">
        <f t="shared" si="7"/>
        <v>378.64749999999992</v>
      </c>
      <c r="N31" s="38"/>
      <c r="O31">
        <f t="shared" si="5"/>
        <v>0</v>
      </c>
    </row>
    <row r="32" spans="1:15" x14ac:dyDescent="0.25">
      <c r="A32" s="41">
        <v>29</v>
      </c>
      <c r="B32" s="45">
        <f>'Data &amp; Formulae'!B40</f>
        <v>37622</v>
      </c>
      <c r="C32" s="46">
        <f>'Data &amp; Formulae'!C40</f>
        <v>3566</v>
      </c>
      <c r="D32" s="41">
        <f>'Data &amp; Formulae'!D40</f>
        <v>13</v>
      </c>
      <c r="E32" s="47">
        <f>'Data &amp; Formulae'!E40</f>
        <v>902.82499999999993</v>
      </c>
      <c r="F32" s="51">
        <f t="shared" si="0"/>
        <v>1</v>
      </c>
      <c r="G32" s="41">
        <f t="shared" si="1"/>
        <v>0</v>
      </c>
      <c r="H32" s="41">
        <f t="shared" si="2"/>
        <v>0</v>
      </c>
      <c r="I32" s="41">
        <f t="shared" si="6"/>
        <v>0</v>
      </c>
      <c r="J32" s="48">
        <f t="shared" si="10"/>
        <v>3566</v>
      </c>
      <c r="K32" s="54">
        <v>41275</v>
      </c>
      <c r="L32" s="42">
        <f t="shared" si="9"/>
        <v>13</v>
      </c>
      <c r="M32" s="50">
        <f t="shared" si="7"/>
        <v>902.82499999999993</v>
      </c>
      <c r="N32" s="38"/>
      <c r="O32">
        <f t="shared" si="5"/>
        <v>0</v>
      </c>
    </row>
    <row r="33" spans="1:15" x14ac:dyDescent="0.25">
      <c r="A33" s="41">
        <v>30</v>
      </c>
      <c r="B33" s="45">
        <f>'Data &amp; Formulae'!B41</f>
        <v>41275</v>
      </c>
      <c r="C33" s="46">
        <f>'Data &amp; Formulae'!C41</f>
        <v>1163</v>
      </c>
      <c r="D33" s="41">
        <f>'Data &amp; Formulae'!D41</f>
        <v>26</v>
      </c>
      <c r="E33" s="47">
        <f>'Data &amp; Formulae'!E41</f>
        <v>12047.777350874183</v>
      </c>
      <c r="F33" s="41">
        <f t="shared" si="0"/>
        <v>0</v>
      </c>
      <c r="G33" s="41">
        <f t="shared" si="1"/>
        <v>0</v>
      </c>
      <c r="H33" s="41">
        <f t="shared" si="2"/>
        <v>0</v>
      </c>
      <c r="I33" s="41">
        <f t="shared" si="6"/>
        <v>0</v>
      </c>
      <c r="J33" s="48">
        <f t="shared" si="10"/>
        <v>1163</v>
      </c>
      <c r="K33" s="49">
        <v>41275</v>
      </c>
      <c r="L33" s="42">
        <f t="shared" si="9"/>
        <v>26</v>
      </c>
      <c r="M33" s="50">
        <f t="shared" si="7"/>
        <v>12047.777350874183</v>
      </c>
      <c r="N33" s="38"/>
      <c r="O33">
        <f t="shared" si="5"/>
        <v>0</v>
      </c>
    </row>
    <row r="34" spans="1:15" x14ac:dyDescent="0.25">
      <c r="A34" s="41">
        <v>31</v>
      </c>
      <c r="B34" s="45">
        <f>'Data &amp; Formulae'!B42</f>
        <v>41275</v>
      </c>
      <c r="C34" s="46">
        <f>'Data &amp; Formulae'!C42</f>
        <v>1156</v>
      </c>
      <c r="D34" s="41">
        <f>'Data &amp; Formulae'!D42</f>
        <v>19</v>
      </c>
      <c r="E34" s="47">
        <f>'Data &amp; Formulae'!E42</f>
        <v>671.91249999999991</v>
      </c>
      <c r="F34" s="41">
        <f t="shared" si="0"/>
        <v>0</v>
      </c>
      <c r="G34" s="41">
        <f t="shared" si="1"/>
        <v>0</v>
      </c>
      <c r="H34" s="41">
        <f t="shared" si="2"/>
        <v>0</v>
      </c>
      <c r="I34" s="41">
        <f t="shared" si="6"/>
        <v>0</v>
      </c>
      <c r="J34" s="48">
        <f t="shared" si="10"/>
        <v>1156</v>
      </c>
      <c r="K34" s="49">
        <v>41275</v>
      </c>
      <c r="L34" s="42">
        <f t="shared" si="9"/>
        <v>19</v>
      </c>
      <c r="M34" s="50">
        <f t="shared" si="7"/>
        <v>671.91249999999991</v>
      </c>
      <c r="N34" s="38"/>
      <c r="O34">
        <f t="shared" si="5"/>
        <v>0</v>
      </c>
    </row>
    <row r="35" spans="1:15" x14ac:dyDescent="0.25">
      <c r="A35" s="41">
        <v>32</v>
      </c>
      <c r="B35" s="45">
        <f>'Data &amp; Formulae'!B43</f>
        <v>41275</v>
      </c>
      <c r="C35" s="46">
        <f>'Data &amp; Formulae'!C43</f>
        <v>12000</v>
      </c>
      <c r="D35" s="41">
        <f>'Data &amp; Formulae'!D43</f>
        <v>21</v>
      </c>
      <c r="E35" s="47">
        <f>'Data &amp; Formulae'!E43</f>
        <v>18627.839999999997</v>
      </c>
      <c r="F35" s="41">
        <f t="shared" si="0"/>
        <v>0</v>
      </c>
      <c r="G35" s="51">
        <f t="shared" si="1"/>
        <v>1</v>
      </c>
      <c r="H35" s="41">
        <f t="shared" si="2"/>
        <v>0</v>
      </c>
      <c r="I35" s="41">
        <f t="shared" si="6"/>
        <v>0</v>
      </c>
      <c r="J35" s="52">
        <f>MaxPrem</f>
        <v>10000</v>
      </c>
      <c r="K35" s="49">
        <v>41275</v>
      </c>
      <c r="L35" s="42">
        <f t="shared" si="9"/>
        <v>21</v>
      </c>
      <c r="M35" s="50">
        <f t="shared" si="7"/>
        <v>18627.839999999997</v>
      </c>
      <c r="N35" s="38"/>
      <c r="O35">
        <f t="shared" si="5"/>
        <v>0</v>
      </c>
    </row>
    <row r="36" spans="1:15" x14ac:dyDescent="0.25">
      <c r="A36" s="41">
        <v>33</v>
      </c>
      <c r="B36" s="45">
        <f>'Data &amp; Formulae'!B44</f>
        <v>41275</v>
      </c>
      <c r="C36" s="46">
        <f>'Data &amp; Formulae'!C44</f>
        <v>2551</v>
      </c>
      <c r="D36" s="41">
        <f>'Data &amp; Formulae'!D44</f>
        <v>26</v>
      </c>
      <c r="E36" s="47">
        <f>'Data &amp; Formulae'!E44</f>
        <v>26426.380070576131</v>
      </c>
      <c r="F36" s="41">
        <f t="shared" ref="F36:F67" si="11">IF(OR(B36&lt;FirstStartDate,B36&gt;LastStartDate),1,0)</f>
        <v>0</v>
      </c>
      <c r="G36" s="41">
        <f t="shared" ref="G36:G67" si="12">IF(OR(C36&lt;MinPrem,C36&gt;MaxPrem),1,0)</f>
        <v>0</v>
      </c>
      <c r="H36" s="41">
        <f t="shared" ref="H36:H67" si="13">IF(OR(D36&lt;MinTerm,D36&gt;MaxTerm),1,0)</f>
        <v>0</v>
      </c>
      <c r="I36" s="41">
        <f t="shared" si="6"/>
        <v>0</v>
      </c>
      <c r="J36" s="48">
        <f t="shared" ref="J36:J83" si="14">IF(G36=0,C36,0)</f>
        <v>2551</v>
      </c>
      <c r="K36" s="49">
        <v>41275</v>
      </c>
      <c r="L36" s="42">
        <f t="shared" si="9"/>
        <v>26</v>
      </c>
      <c r="M36" s="50">
        <f t="shared" si="7"/>
        <v>26426.380070576131</v>
      </c>
      <c r="N36" s="38"/>
      <c r="O36">
        <f t="shared" ref="O36:O67" si="15">IF(YEAR(K36)+L36&lt;YEAR(ValDate),1,0)</f>
        <v>0</v>
      </c>
    </row>
    <row r="37" spans="1:15" x14ac:dyDescent="0.25">
      <c r="A37" s="41">
        <v>34</v>
      </c>
      <c r="B37" s="45">
        <f>'Data &amp; Formulae'!B45</f>
        <v>41275</v>
      </c>
      <c r="C37" s="46">
        <f>'Data &amp; Formulae'!C45</f>
        <v>7495</v>
      </c>
      <c r="D37" s="41">
        <f>'Data &amp; Formulae'!D45</f>
        <v>17</v>
      </c>
      <c r="E37" s="47">
        <f>'Data &amp; Formulae'!E45</f>
        <v>15077.667499999998</v>
      </c>
      <c r="F37" s="41">
        <f t="shared" si="11"/>
        <v>0</v>
      </c>
      <c r="G37" s="41">
        <f t="shared" si="12"/>
        <v>0</v>
      </c>
      <c r="H37" s="41">
        <f t="shared" si="13"/>
        <v>0</v>
      </c>
      <c r="I37" s="41">
        <f t="shared" si="6"/>
        <v>0</v>
      </c>
      <c r="J37" s="48">
        <f t="shared" si="14"/>
        <v>7495</v>
      </c>
      <c r="K37" s="49">
        <v>41275</v>
      </c>
      <c r="L37" s="42">
        <f t="shared" si="9"/>
        <v>17</v>
      </c>
      <c r="M37" s="50">
        <f t="shared" si="7"/>
        <v>15077.667499999998</v>
      </c>
      <c r="N37" s="38"/>
      <c r="O37">
        <f t="shared" si="15"/>
        <v>0</v>
      </c>
    </row>
    <row r="38" spans="1:15" x14ac:dyDescent="0.25">
      <c r="A38" s="41">
        <v>35</v>
      </c>
      <c r="B38" s="45">
        <f>'Data &amp; Formulae'!B46</f>
        <v>41275</v>
      </c>
      <c r="C38" s="46">
        <f>'Data &amp; Formulae'!C46</f>
        <v>4008</v>
      </c>
      <c r="D38" s="41">
        <f>'Data &amp; Formulae'!D46</f>
        <v>30</v>
      </c>
      <c r="E38" s="47">
        <f>'Data &amp; Formulae'!E46</f>
        <v>14335.684999999999</v>
      </c>
      <c r="F38" s="41">
        <f t="shared" si="11"/>
        <v>0</v>
      </c>
      <c r="G38" s="41">
        <f t="shared" si="12"/>
        <v>0</v>
      </c>
      <c r="H38" s="41">
        <f t="shared" si="13"/>
        <v>0</v>
      </c>
      <c r="I38" s="41">
        <f t="shared" si="6"/>
        <v>0</v>
      </c>
      <c r="J38" s="48">
        <f t="shared" si="14"/>
        <v>4008</v>
      </c>
      <c r="K38" s="49">
        <v>41275</v>
      </c>
      <c r="L38" s="42">
        <f t="shared" si="9"/>
        <v>30</v>
      </c>
      <c r="M38" s="50">
        <f t="shared" si="7"/>
        <v>14335.684999999999</v>
      </c>
      <c r="N38" s="38"/>
      <c r="O38">
        <f t="shared" si="15"/>
        <v>0</v>
      </c>
    </row>
    <row r="39" spans="1:15" x14ac:dyDescent="0.25">
      <c r="A39" s="41">
        <v>36</v>
      </c>
      <c r="B39" s="45">
        <f>'Data &amp; Formulae'!B47</f>
        <v>41275</v>
      </c>
      <c r="C39" s="46">
        <f>'Data &amp; Formulae'!C47</f>
        <v>5764</v>
      </c>
      <c r="D39" s="41">
        <f>'Data &amp; Formulae'!D47</f>
        <v>29</v>
      </c>
      <c r="E39" s="47">
        <f>'Data &amp; Formulae'!E47</f>
        <v>20027.524999999998</v>
      </c>
      <c r="F39" s="41">
        <f t="shared" si="11"/>
        <v>0</v>
      </c>
      <c r="G39" s="41">
        <f t="shared" si="12"/>
        <v>0</v>
      </c>
      <c r="H39" s="41">
        <f t="shared" si="13"/>
        <v>0</v>
      </c>
      <c r="I39" s="41">
        <f t="shared" si="6"/>
        <v>0</v>
      </c>
      <c r="J39" s="48">
        <f t="shared" si="14"/>
        <v>5764</v>
      </c>
      <c r="K39" s="49">
        <v>41275</v>
      </c>
      <c r="L39" s="42">
        <f t="shared" si="9"/>
        <v>29</v>
      </c>
      <c r="M39" s="50">
        <f t="shared" si="7"/>
        <v>20027.524999999998</v>
      </c>
      <c r="N39" s="38"/>
      <c r="O39">
        <f t="shared" si="15"/>
        <v>0</v>
      </c>
    </row>
    <row r="40" spans="1:15" x14ac:dyDescent="0.25">
      <c r="A40" s="41">
        <v>37</v>
      </c>
      <c r="B40" s="45">
        <f>'Data &amp; Formulae'!B48</f>
        <v>41275</v>
      </c>
      <c r="C40" s="46">
        <f>'Data &amp; Formulae'!C48</f>
        <v>4178</v>
      </c>
      <c r="D40" s="41">
        <f>'Data &amp; Formulae'!D48</f>
        <v>28</v>
      </c>
      <c r="E40" s="47">
        <f>'Data &amp; Formulae'!E48</f>
        <v>13778.8</v>
      </c>
      <c r="F40" s="41">
        <f t="shared" si="11"/>
        <v>0</v>
      </c>
      <c r="G40" s="41">
        <f t="shared" si="12"/>
        <v>0</v>
      </c>
      <c r="H40" s="41">
        <f t="shared" si="13"/>
        <v>0</v>
      </c>
      <c r="I40" s="41">
        <f t="shared" si="6"/>
        <v>0</v>
      </c>
      <c r="J40" s="48">
        <f t="shared" si="14"/>
        <v>4178</v>
      </c>
      <c r="K40" s="49">
        <v>41275</v>
      </c>
      <c r="L40" s="42">
        <f t="shared" si="9"/>
        <v>28</v>
      </c>
      <c r="M40" s="50">
        <f t="shared" si="7"/>
        <v>13778.8</v>
      </c>
      <c r="N40" s="38"/>
      <c r="O40">
        <f t="shared" si="15"/>
        <v>0</v>
      </c>
    </row>
    <row r="41" spans="1:15" x14ac:dyDescent="0.25">
      <c r="A41" s="41">
        <v>38</v>
      </c>
      <c r="B41" s="45">
        <f>'Data &amp; Formulae'!B49</f>
        <v>41640</v>
      </c>
      <c r="C41" s="46">
        <f>'Data &amp; Formulae'!C49</f>
        <v>6594</v>
      </c>
      <c r="D41" s="41">
        <f>'Data &amp; Formulae'!D49</f>
        <v>21</v>
      </c>
      <c r="E41" s="47">
        <f>'Data &amp; Formulae'!E49</f>
        <v>16711.817499999997</v>
      </c>
      <c r="F41" s="41">
        <f t="shared" si="11"/>
        <v>0</v>
      </c>
      <c r="G41" s="41">
        <f t="shared" si="12"/>
        <v>0</v>
      </c>
      <c r="H41" s="41">
        <f t="shared" si="13"/>
        <v>0</v>
      </c>
      <c r="I41" s="41">
        <f t="shared" si="6"/>
        <v>0</v>
      </c>
      <c r="J41" s="48">
        <f t="shared" si="14"/>
        <v>6594</v>
      </c>
      <c r="K41" s="49">
        <v>41640</v>
      </c>
      <c r="L41" s="42">
        <f t="shared" si="9"/>
        <v>21</v>
      </c>
      <c r="M41" s="50">
        <f t="shared" si="7"/>
        <v>16711.817499999997</v>
      </c>
      <c r="N41" s="38"/>
      <c r="O41">
        <f t="shared" si="15"/>
        <v>0</v>
      </c>
    </row>
    <row r="42" spans="1:15" x14ac:dyDescent="0.25">
      <c r="A42" s="41">
        <v>39</v>
      </c>
      <c r="B42" s="45">
        <f>'Data &amp; Formulae'!B50</f>
        <v>41640</v>
      </c>
      <c r="C42" s="46">
        <f>'Data &amp; Formulae'!C50</f>
        <v>8573</v>
      </c>
      <c r="D42" s="41">
        <f>'Data &amp; Formulae'!D50</f>
        <v>15</v>
      </c>
      <c r="E42" s="47">
        <f>'Data &amp; Formulae'!E50</f>
        <v>4932.3399999999992</v>
      </c>
      <c r="F42" s="41">
        <f t="shared" si="11"/>
        <v>0</v>
      </c>
      <c r="G42" s="41">
        <f t="shared" si="12"/>
        <v>0</v>
      </c>
      <c r="H42" s="41">
        <f t="shared" si="13"/>
        <v>0</v>
      </c>
      <c r="I42" s="41">
        <f t="shared" si="6"/>
        <v>0</v>
      </c>
      <c r="J42" s="48">
        <f t="shared" si="14"/>
        <v>8573</v>
      </c>
      <c r="K42" s="49">
        <v>41640</v>
      </c>
      <c r="L42" s="42">
        <f t="shared" si="9"/>
        <v>15</v>
      </c>
      <c r="M42" s="50">
        <f t="shared" si="7"/>
        <v>4932.3399999999992</v>
      </c>
      <c r="N42" s="38"/>
      <c r="O42">
        <f t="shared" si="15"/>
        <v>0</v>
      </c>
    </row>
    <row r="43" spans="1:15" x14ac:dyDescent="0.25">
      <c r="A43" s="41">
        <v>40</v>
      </c>
      <c r="B43" s="45">
        <f>'Data &amp; Formulae'!B51</f>
        <v>41640</v>
      </c>
      <c r="C43" s="46">
        <f>'Data &amp; Formulae'!C51</f>
        <v>2001</v>
      </c>
      <c r="D43" s="41">
        <f>'Data &amp; Formulae'!D51</f>
        <v>13</v>
      </c>
      <c r="E43" s="47">
        <f>'Data &amp; Formulae'!E51</f>
        <v>242.79499999999996</v>
      </c>
      <c r="F43" s="41">
        <f t="shared" si="11"/>
        <v>0</v>
      </c>
      <c r="G43" s="41">
        <f t="shared" si="12"/>
        <v>0</v>
      </c>
      <c r="H43" s="41">
        <f t="shared" si="13"/>
        <v>0</v>
      </c>
      <c r="I43" s="41">
        <f t="shared" si="6"/>
        <v>0</v>
      </c>
      <c r="J43" s="48">
        <f t="shared" si="14"/>
        <v>2001</v>
      </c>
      <c r="K43" s="49">
        <v>41640</v>
      </c>
      <c r="L43" s="42">
        <f t="shared" si="9"/>
        <v>13</v>
      </c>
      <c r="M43" s="50">
        <f t="shared" si="7"/>
        <v>242.79499999999996</v>
      </c>
      <c r="N43" s="38"/>
      <c r="O43">
        <f t="shared" si="15"/>
        <v>0</v>
      </c>
    </row>
    <row r="44" spans="1:15" x14ac:dyDescent="0.25">
      <c r="A44" s="41">
        <v>41</v>
      </c>
      <c r="B44" s="45">
        <f>'Data &amp; Formulae'!B52</f>
        <v>41640</v>
      </c>
      <c r="C44" s="46">
        <f>'Data &amp; Formulae'!C52</f>
        <v>7658</v>
      </c>
      <c r="D44" s="41">
        <f>'Data &amp; Formulae'!D52</f>
        <v>26</v>
      </c>
      <c r="E44" s="47">
        <f>'Data &amp; Formulae'!E52</f>
        <v>24047.852499999997</v>
      </c>
      <c r="F44" s="41">
        <f t="shared" si="11"/>
        <v>0</v>
      </c>
      <c r="G44" s="41">
        <f t="shared" si="12"/>
        <v>0</v>
      </c>
      <c r="H44" s="41">
        <f t="shared" si="13"/>
        <v>0</v>
      </c>
      <c r="I44" s="41">
        <f t="shared" si="6"/>
        <v>0</v>
      </c>
      <c r="J44" s="48">
        <f t="shared" si="14"/>
        <v>7658</v>
      </c>
      <c r="K44" s="49">
        <v>41640</v>
      </c>
      <c r="L44" s="42">
        <f t="shared" si="9"/>
        <v>26</v>
      </c>
      <c r="M44" s="50">
        <f t="shared" si="7"/>
        <v>24047.852499999997</v>
      </c>
      <c r="N44" s="38"/>
      <c r="O44">
        <f t="shared" si="15"/>
        <v>0</v>
      </c>
    </row>
    <row r="45" spans="1:15" x14ac:dyDescent="0.25">
      <c r="A45" s="41">
        <v>42</v>
      </c>
      <c r="B45" s="45">
        <f>'Data &amp; Formulae'!B53</f>
        <v>41640</v>
      </c>
      <c r="C45" s="46">
        <f>'Data &amp; Formulae'!C53</f>
        <v>7130</v>
      </c>
      <c r="D45" s="41">
        <f>'Data &amp; Formulae'!D53</f>
        <v>25</v>
      </c>
      <c r="E45" s="47">
        <f>'Data &amp; Formulae'!E53</f>
        <v>21376.249999999996</v>
      </c>
      <c r="F45" s="41">
        <f t="shared" si="11"/>
        <v>0</v>
      </c>
      <c r="G45" s="41">
        <f t="shared" si="12"/>
        <v>0</v>
      </c>
      <c r="H45" s="41">
        <f t="shared" si="13"/>
        <v>0</v>
      </c>
      <c r="I45" s="41">
        <f t="shared" si="6"/>
        <v>0</v>
      </c>
      <c r="J45" s="48">
        <f t="shared" si="14"/>
        <v>7130</v>
      </c>
      <c r="K45" s="49">
        <v>41640</v>
      </c>
      <c r="L45" s="42">
        <f t="shared" si="9"/>
        <v>25</v>
      </c>
      <c r="M45" s="50">
        <f t="shared" si="7"/>
        <v>21376.249999999996</v>
      </c>
      <c r="N45" s="38"/>
      <c r="O45">
        <f t="shared" si="15"/>
        <v>0</v>
      </c>
    </row>
    <row r="46" spans="1:15" x14ac:dyDescent="0.25">
      <c r="A46" s="41">
        <v>43</v>
      </c>
      <c r="B46" s="45">
        <f>'Data &amp; Formulae'!B54</f>
        <v>37987</v>
      </c>
      <c r="C46" s="46">
        <f>'Data &amp; Formulae'!C54</f>
        <v>2230</v>
      </c>
      <c r="D46" s="41">
        <f>'Data &amp; Formulae'!D54</f>
        <v>26</v>
      </c>
      <c r="E46" s="47">
        <f>'Data &amp; Formulae'!E54</f>
        <v>6728.1899999999987</v>
      </c>
      <c r="F46" s="51">
        <f t="shared" si="11"/>
        <v>1</v>
      </c>
      <c r="G46" s="41">
        <f t="shared" si="12"/>
        <v>0</v>
      </c>
      <c r="H46" s="41">
        <f t="shared" si="13"/>
        <v>0</v>
      </c>
      <c r="I46" s="41">
        <f t="shared" si="6"/>
        <v>0</v>
      </c>
      <c r="J46" s="48">
        <f t="shared" si="14"/>
        <v>2230</v>
      </c>
      <c r="K46" s="54">
        <v>41640</v>
      </c>
      <c r="L46" s="42">
        <f t="shared" si="9"/>
        <v>26</v>
      </c>
      <c r="M46" s="50">
        <f t="shared" si="7"/>
        <v>6728.1899999999987</v>
      </c>
      <c r="N46" s="38"/>
      <c r="O46">
        <f t="shared" si="15"/>
        <v>0</v>
      </c>
    </row>
    <row r="47" spans="1:15" x14ac:dyDescent="0.25">
      <c r="A47" s="41">
        <v>44</v>
      </c>
      <c r="B47" s="45">
        <f>'Data &amp; Formulae'!B55</f>
        <v>41640</v>
      </c>
      <c r="C47" s="46">
        <f>'Data &amp; Formulae'!C55</f>
        <v>7479</v>
      </c>
      <c r="D47" s="41">
        <f>'Data &amp; Formulae'!D55</f>
        <v>12</v>
      </c>
      <c r="E47" s="47">
        <f>'Data &amp; Formulae'!E55</f>
        <v>1351.9099999999999</v>
      </c>
      <c r="F47" s="41">
        <f t="shared" si="11"/>
        <v>0</v>
      </c>
      <c r="G47" s="41">
        <f t="shared" si="12"/>
        <v>0</v>
      </c>
      <c r="H47" s="41">
        <f t="shared" si="13"/>
        <v>0</v>
      </c>
      <c r="I47" s="41">
        <f t="shared" si="6"/>
        <v>0</v>
      </c>
      <c r="J47" s="48">
        <f t="shared" si="14"/>
        <v>7479</v>
      </c>
      <c r="K47" s="49">
        <v>41640</v>
      </c>
      <c r="L47" s="42">
        <f t="shared" si="9"/>
        <v>12</v>
      </c>
      <c r="M47" s="50">
        <f t="shared" si="7"/>
        <v>1351.9099999999999</v>
      </c>
      <c r="N47" s="38"/>
      <c r="O47">
        <f t="shared" si="15"/>
        <v>0</v>
      </c>
    </row>
    <row r="48" spans="1:15" x14ac:dyDescent="0.25">
      <c r="A48" s="41">
        <v>45</v>
      </c>
      <c r="B48" s="45">
        <f>'Data &amp; Formulae'!B56</f>
        <v>41640</v>
      </c>
      <c r="C48" s="46">
        <f>'Data &amp; Formulae'!C56</f>
        <v>5408</v>
      </c>
      <c r="D48" s="41">
        <f>'Data &amp; Formulae'!D56</f>
        <v>11</v>
      </c>
      <c r="E48" s="47">
        <f>'Data &amp; Formulae'!E56</f>
        <v>145.52999999999997</v>
      </c>
      <c r="F48" s="41">
        <f t="shared" si="11"/>
        <v>0</v>
      </c>
      <c r="G48" s="41">
        <f t="shared" si="12"/>
        <v>0</v>
      </c>
      <c r="H48" s="41">
        <f t="shared" si="13"/>
        <v>0</v>
      </c>
      <c r="I48" s="41">
        <f t="shared" si="6"/>
        <v>0</v>
      </c>
      <c r="J48" s="48">
        <f t="shared" si="14"/>
        <v>5408</v>
      </c>
      <c r="K48" s="49">
        <v>41640</v>
      </c>
      <c r="L48" s="42">
        <f t="shared" si="9"/>
        <v>11</v>
      </c>
      <c r="M48" s="50">
        <f t="shared" si="7"/>
        <v>145.52999999999997</v>
      </c>
      <c r="N48" s="38"/>
      <c r="O48">
        <f t="shared" si="15"/>
        <v>0</v>
      </c>
    </row>
    <row r="49" spans="1:15" x14ac:dyDescent="0.25">
      <c r="A49" s="41">
        <v>46</v>
      </c>
      <c r="B49" s="45">
        <f>'Data &amp; Formulae'!B57</f>
        <v>41640</v>
      </c>
      <c r="C49" s="46">
        <f>'Data &amp; Formulae'!C57</f>
        <v>3898</v>
      </c>
      <c r="D49" s="41">
        <f>'Data &amp; Formulae'!D57</f>
        <v>10</v>
      </c>
      <c r="E49" s="47">
        <f>'Data &amp; Formulae'!E57</f>
        <v>4508.244999999999</v>
      </c>
      <c r="F49" s="41">
        <f t="shared" si="11"/>
        <v>0</v>
      </c>
      <c r="G49" s="41">
        <f t="shared" si="12"/>
        <v>0</v>
      </c>
      <c r="H49" s="41">
        <f t="shared" si="13"/>
        <v>0</v>
      </c>
      <c r="I49" s="41">
        <f t="shared" si="6"/>
        <v>0</v>
      </c>
      <c r="J49" s="48">
        <f t="shared" si="14"/>
        <v>3898</v>
      </c>
      <c r="K49" s="49">
        <v>41640</v>
      </c>
      <c r="L49" s="42">
        <f t="shared" si="9"/>
        <v>10</v>
      </c>
      <c r="M49" s="50">
        <f t="shared" si="7"/>
        <v>4508.244999999999</v>
      </c>
      <c r="N49" s="38"/>
      <c r="O49">
        <f t="shared" si="15"/>
        <v>0</v>
      </c>
    </row>
    <row r="50" spans="1:15" x14ac:dyDescent="0.25">
      <c r="A50" s="41">
        <v>47</v>
      </c>
      <c r="B50" s="45">
        <f>'Data &amp; Formulae'!B58</f>
        <v>41640</v>
      </c>
      <c r="C50" s="46">
        <f>'Data &amp; Formulae'!C58</f>
        <v>1319</v>
      </c>
      <c r="D50" s="41">
        <f>'Data &amp; Formulae'!D58</f>
        <v>26</v>
      </c>
      <c r="E50" s="47">
        <f>'Data &amp; Formulae'!E58</f>
        <v>3929.0649999999996</v>
      </c>
      <c r="F50" s="41">
        <f t="shared" si="11"/>
        <v>0</v>
      </c>
      <c r="G50" s="41">
        <f t="shared" si="12"/>
        <v>0</v>
      </c>
      <c r="H50" s="41">
        <f t="shared" si="13"/>
        <v>0</v>
      </c>
      <c r="I50" s="41">
        <f t="shared" si="6"/>
        <v>0</v>
      </c>
      <c r="J50" s="48">
        <f t="shared" si="14"/>
        <v>1319</v>
      </c>
      <c r="K50" s="49">
        <v>41640</v>
      </c>
      <c r="L50" s="42">
        <f t="shared" si="9"/>
        <v>26</v>
      </c>
      <c r="M50" s="50">
        <f t="shared" si="7"/>
        <v>3929.0649999999996</v>
      </c>
      <c r="N50" s="38"/>
      <c r="O50">
        <f t="shared" si="15"/>
        <v>0</v>
      </c>
    </row>
    <row r="51" spans="1:15" x14ac:dyDescent="0.25">
      <c r="A51" s="41">
        <v>48</v>
      </c>
      <c r="B51" s="45">
        <f>'Data &amp; Formulae'!B59</f>
        <v>41640</v>
      </c>
      <c r="C51" s="46">
        <f>'Data &amp; Formulae'!C59</f>
        <v>9369</v>
      </c>
      <c r="D51" s="41">
        <f>'Data &amp; Formulae'!D59</f>
        <v>20</v>
      </c>
      <c r="E51" s="47">
        <f>'Data &amp; Formulae'!E59</f>
        <v>80076.376803257604</v>
      </c>
      <c r="F51" s="41">
        <f t="shared" si="11"/>
        <v>0</v>
      </c>
      <c r="G51" s="41">
        <f t="shared" si="12"/>
        <v>0</v>
      </c>
      <c r="H51" s="41">
        <f t="shared" si="13"/>
        <v>0</v>
      </c>
      <c r="I51" s="41">
        <f t="shared" si="6"/>
        <v>0</v>
      </c>
      <c r="J51" s="48">
        <f t="shared" si="14"/>
        <v>9369</v>
      </c>
      <c r="K51" s="49">
        <v>41640</v>
      </c>
      <c r="L51" s="42">
        <f t="shared" si="9"/>
        <v>20</v>
      </c>
      <c r="M51" s="50">
        <f t="shared" si="7"/>
        <v>80076.376803257604</v>
      </c>
      <c r="N51" s="38"/>
      <c r="O51">
        <f t="shared" si="15"/>
        <v>0</v>
      </c>
    </row>
    <row r="52" spans="1:15" x14ac:dyDescent="0.25">
      <c r="A52" s="41">
        <v>49</v>
      </c>
      <c r="B52" s="45">
        <f>'Data &amp; Formulae'!B60</f>
        <v>41640</v>
      </c>
      <c r="C52" s="46">
        <f>'Data &amp; Formulae'!C60</f>
        <v>9095</v>
      </c>
      <c r="D52" s="41">
        <f>'Data &amp; Formulae'!D60</f>
        <v>30</v>
      </c>
      <c r="E52" s="47">
        <f>'Data &amp; Formulae'!E60</f>
        <v>16680.579999999998</v>
      </c>
      <c r="F52" s="41">
        <f t="shared" si="11"/>
        <v>0</v>
      </c>
      <c r="G52" s="41">
        <f t="shared" si="12"/>
        <v>0</v>
      </c>
      <c r="H52" s="41">
        <f t="shared" si="13"/>
        <v>0</v>
      </c>
      <c r="I52" s="41">
        <f t="shared" si="6"/>
        <v>0</v>
      </c>
      <c r="J52" s="48">
        <f t="shared" si="14"/>
        <v>9095</v>
      </c>
      <c r="K52" s="49">
        <v>41640</v>
      </c>
      <c r="L52" s="42">
        <f t="shared" si="9"/>
        <v>30</v>
      </c>
      <c r="M52" s="50">
        <f t="shared" si="7"/>
        <v>16680.579999999998</v>
      </c>
      <c r="N52" s="38"/>
      <c r="O52">
        <f t="shared" si="15"/>
        <v>0</v>
      </c>
    </row>
    <row r="53" spans="1:15" x14ac:dyDescent="0.25">
      <c r="A53" s="41">
        <v>50</v>
      </c>
      <c r="B53" s="45">
        <f>'Data &amp; Formulae'!B61</f>
        <v>41640</v>
      </c>
      <c r="C53" s="46">
        <f>'Data &amp; Formulae'!C61</f>
        <v>8896</v>
      </c>
      <c r="D53" s="41">
        <f>'Data &amp; Formulae'!D61</f>
        <v>12</v>
      </c>
      <c r="E53" s="47">
        <f>'Data &amp; Formulae'!E61</f>
        <v>2682.0149999999999</v>
      </c>
      <c r="F53" s="41">
        <f t="shared" si="11"/>
        <v>0</v>
      </c>
      <c r="G53" s="41">
        <f t="shared" si="12"/>
        <v>0</v>
      </c>
      <c r="H53" s="41">
        <f t="shared" si="13"/>
        <v>0</v>
      </c>
      <c r="I53" s="41">
        <f t="shared" si="6"/>
        <v>0</v>
      </c>
      <c r="J53" s="48">
        <f t="shared" si="14"/>
        <v>8896</v>
      </c>
      <c r="K53" s="49">
        <v>41640</v>
      </c>
      <c r="L53" s="42">
        <f t="shared" si="9"/>
        <v>12</v>
      </c>
      <c r="M53" s="50">
        <f t="shared" si="7"/>
        <v>2682.0149999999999</v>
      </c>
      <c r="N53" s="38"/>
      <c r="O53">
        <f t="shared" si="15"/>
        <v>0</v>
      </c>
    </row>
    <row r="54" spans="1:15" x14ac:dyDescent="0.25">
      <c r="A54" s="41">
        <v>51</v>
      </c>
      <c r="B54" s="45">
        <f>'Data &amp; Formulae'!B62</f>
        <v>41640</v>
      </c>
      <c r="C54" s="46">
        <f>'Data &amp; Formulae'!C62</f>
        <v>4422</v>
      </c>
      <c r="D54" s="41">
        <f>'Data &amp; Formulae'!D62</f>
        <v>67</v>
      </c>
      <c r="E54" s="47">
        <f>'Data &amp; Formulae'!E62</f>
        <v>17829.997499999998</v>
      </c>
      <c r="F54" s="41">
        <f t="shared" si="11"/>
        <v>0</v>
      </c>
      <c r="G54" s="41">
        <f t="shared" si="12"/>
        <v>0</v>
      </c>
      <c r="H54" s="51">
        <f t="shared" si="13"/>
        <v>1</v>
      </c>
      <c r="I54" s="41">
        <f t="shared" si="6"/>
        <v>0</v>
      </c>
      <c r="J54" s="48">
        <f t="shared" si="14"/>
        <v>4422</v>
      </c>
      <c r="K54" s="49">
        <v>41640</v>
      </c>
      <c r="L54" s="53">
        <f>MaxTerm</f>
        <v>30</v>
      </c>
      <c r="M54" s="50">
        <f t="shared" si="7"/>
        <v>17829.997499999998</v>
      </c>
      <c r="N54" s="38"/>
      <c r="O54">
        <f t="shared" si="15"/>
        <v>0</v>
      </c>
    </row>
    <row r="55" spans="1:15" x14ac:dyDescent="0.25">
      <c r="A55" s="41">
        <v>52</v>
      </c>
      <c r="B55" s="45">
        <f>'Data &amp; Formulae'!B63</f>
        <v>41640</v>
      </c>
      <c r="C55" s="46">
        <f>'Data &amp; Formulae'!C63</f>
        <v>1817</v>
      </c>
      <c r="D55" s="41">
        <f>'Data &amp; Formulae'!D63</f>
        <v>16</v>
      </c>
      <c r="E55" s="47">
        <f>'Data &amp; Formulae'!E63</f>
        <v>805.4375</v>
      </c>
      <c r="F55" s="41">
        <f t="shared" si="11"/>
        <v>0</v>
      </c>
      <c r="G55" s="41">
        <f t="shared" si="12"/>
        <v>0</v>
      </c>
      <c r="H55" s="41">
        <f t="shared" si="13"/>
        <v>0</v>
      </c>
      <c r="I55" s="41">
        <f t="shared" si="6"/>
        <v>0</v>
      </c>
      <c r="J55" s="48">
        <f t="shared" si="14"/>
        <v>1817</v>
      </c>
      <c r="K55" s="49">
        <v>41640</v>
      </c>
      <c r="L55" s="42">
        <f t="shared" ref="L55:L68" si="16">D55</f>
        <v>16</v>
      </c>
      <c r="M55" s="50">
        <f t="shared" si="7"/>
        <v>805.4375</v>
      </c>
      <c r="N55" s="38"/>
      <c r="O55">
        <f t="shared" si="15"/>
        <v>0</v>
      </c>
    </row>
    <row r="56" spans="1:15" x14ac:dyDescent="0.25">
      <c r="A56" s="41">
        <v>53</v>
      </c>
      <c r="B56" s="45">
        <f>'Data &amp; Formulae'!B64</f>
        <v>41640</v>
      </c>
      <c r="C56" s="46">
        <f>'Data &amp; Formulae'!C64</f>
        <v>8780</v>
      </c>
      <c r="D56" s="41">
        <f>'Data &amp; Formulae'!D64</f>
        <v>14</v>
      </c>
      <c r="E56" s="47">
        <f>'Data &amp; Formulae'!E64</f>
        <v>14460.022499999999</v>
      </c>
      <c r="F56" s="41">
        <f t="shared" si="11"/>
        <v>0</v>
      </c>
      <c r="G56" s="41">
        <f t="shared" si="12"/>
        <v>0</v>
      </c>
      <c r="H56" s="41">
        <f t="shared" si="13"/>
        <v>0</v>
      </c>
      <c r="I56" s="41">
        <f t="shared" si="6"/>
        <v>0</v>
      </c>
      <c r="J56" s="48">
        <f t="shared" si="14"/>
        <v>8780</v>
      </c>
      <c r="K56" s="49">
        <v>41640</v>
      </c>
      <c r="L56" s="42">
        <f t="shared" si="16"/>
        <v>14</v>
      </c>
      <c r="M56" s="50">
        <f t="shared" si="7"/>
        <v>14460.022499999999</v>
      </c>
      <c r="N56" s="38"/>
      <c r="O56">
        <f t="shared" si="15"/>
        <v>0</v>
      </c>
    </row>
    <row r="57" spans="1:15" x14ac:dyDescent="0.25">
      <c r="A57" s="41">
        <v>54</v>
      </c>
      <c r="B57" s="45">
        <f>'Data &amp; Formulae'!B65</f>
        <v>41640</v>
      </c>
      <c r="C57" s="46">
        <f>'Data &amp; Formulae'!C65</f>
        <v>7004</v>
      </c>
      <c r="D57" s="41">
        <f>'Data &amp; Formulae'!D65</f>
        <v>11</v>
      </c>
      <c r="E57" s="47">
        <f>'Data &amp; Formulae'!E65</f>
        <v>596.45249999999987</v>
      </c>
      <c r="F57" s="41">
        <f t="shared" si="11"/>
        <v>0</v>
      </c>
      <c r="G57" s="41">
        <f t="shared" si="12"/>
        <v>0</v>
      </c>
      <c r="H57" s="41">
        <f t="shared" si="13"/>
        <v>0</v>
      </c>
      <c r="I57" s="41">
        <f t="shared" si="6"/>
        <v>0</v>
      </c>
      <c r="J57" s="48">
        <f t="shared" si="14"/>
        <v>7004</v>
      </c>
      <c r="K57" s="49">
        <v>41640</v>
      </c>
      <c r="L57" s="42">
        <f t="shared" si="16"/>
        <v>11</v>
      </c>
      <c r="M57" s="50">
        <f t="shared" si="7"/>
        <v>596.45249999999987</v>
      </c>
      <c r="N57" s="38"/>
      <c r="O57">
        <f t="shared" si="15"/>
        <v>0</v>
      </c>
    </row>
    <row r="58" spans="1:15" x14ac:dyDescent="0.25">
      <c r="A58" s="41">
        <v>55</v>
      </c>
      <c r="B58" s="45">
        <f>'Data &amp; Formulae'!B66</f>
        <v>41640</v>
      </c>
      <c r="C58" s="46">
        <f>'Data &amp; Formulae'!C66</f>
        <v>8451</v>
      </c>
      <c r="D58" s="41">
        <f>'Data &amp; Formulae'!D66</f>
        <v>24</v>
      </c>
      <c r="E58" s="47">
        <f>'Data &amp; Formulae'!E66</f>
        <v>4807.1449999999995</v>
      </c>
      <c r="F58" s="41">
        <f t="shared" si="11"/>
        <v>0</v>
      </c>
      <c r="G58" s="41">
        <f t="shared" si="12"/>
        <v>0</v>
      </c>
      <c r="H58" s="41">
        <f t="shared" si="13"/>
        <v>0</v>
      </c>
      <c r="I58" s="41">
        <f t="shared" si="6"/>
        <v>0</v>
      </c>
      <c r="J58" s="48">
        <f t="shared" si="14"/>
        <v>8451</v>
      </c>
      <c r="K58" s="49">
        <v>41640</v>
      </c>
      <c r="L58" s="42">
        <f t="shared" si="16"/>
        <v>24</v>
      </c>
      <c r="M58" s="50">
        <f t="shared" si="7"/>
        <v>4807.1449999999995</v>
      </c>
      <c r="N58" s="38"/>
      <c r="O58">
        <f t="shared" si="15"/>
        <v>0</v>
      </c>
    </row>
    <row r="59" spans="1:15" x14ac:dyDescent="0.25">
      <c r="A59" s="41">
        <v>56</v>
      </c>
      <c r="B59" s="45">
        <f>'Data &amp; Formulae'!B67</f>
        <v>41640</v>
      </c>
      <c r="C59" s="46">
        <f>'Data &amp; Formulae'!C67</f>
        <v>4961</v>
      </c>
      <c r="D59" s="41">
        <f>'Data &amp; Formulae'!D67</f>
        <v>22</v>
      </c>
      <c r="E59" s="47">
        <f>'Data &amp; Formulae'!E67</f>
        <v>42401.420143127449</v>
      </c>
      <c r="F59" s="41">
        <f t="shared" si="11"/>
        <v>0</v>
      </c>
      <c r="G59" s="41">
        <f t="shared" si="12"/>
        <v>0</v>
      </c>
      <c r="H59" s="41">
        <f t="shared" si="13"/>
        <v>0</v>
      </c>
      <c r="I59" s="41">
        <f t="shared" si="6"/>
        <v>0</v>
      </c>
      <c r="J59" s="48">
        <f t="shared" si="14"/>
        <v>4961</v>
      </c>
      <c r="K59" s="49">
        <v>41640</v>
      </c>
      <c r="L59" s="42">
        <f t="shared" si="16"/>
        <v>22</v>
      </c>
      <c r="M59" s="50">
        <f t="shared" si="7"/>
        <v>42401.420143127449</v>
      </c>
      <c r="N59" s="38"/>
      <c r="O59">
        <f t="shared" si="15"/>
        <v>0</v>
      </c>
    </row>
    <row r="60" spans="1:15" x14ac:dyDescent="0.25">
      <c r="A60" s="41">
        <v>57</v>
      </c>
      <c r="B60" s="45">
        <f>'Data &amp; Formulae'!B68</f>
        <v>42005</v>
      </c>
      <c r="C60" s="46">
        <f>'Data &amp; Formulae'!C68</f>
        <v>9835</v>
      </c>
      <c r="D60" s="41">
        <f>'Data &amp; Formulae'!D68</f>
        <v>19</v>
      </c>
      <c r="E60" s="47">
        <f>'Data &amp; Formulae'!E68</f>
        <v>717.72749999999996</v>
      </c>
      <c r="F60" s="41">
        <f t="shared" si="11"/>
        <v>0</v>
      </c>
      <c r="G60" s="41">
        <f t="shared" si="12"/>
        <v>0</v>
      </c>
      <c r="H60" s="41">
        <f t="shared" si="13"/>
        <v>0</v>
      </c>
      <c r="I60" s="41">
        <f t="shared" si="6"/>
        <v>0</v>
      </c>
      <c r="J60" s="48">
        <f t="shared" si="14"/>
        <v>9835</v>
      </c>
      <c r="K60" s="49">
        <v>42005</v>
      </c>
      <c r="L60" s="42">
        <f t="shared" si="16"/>
        <v>19</v>
      </c>
      <c r="M60" s="50">
        <f t="shared" si="7"/>
        <v>717.72749999999996</v>
      </c>
      <c r="N60" s="38"/>
      <c r="O60">
        <f t="shared" si="15"/>
        <v>0</v>
      </c>
    </row>
    <row r="61" spans="1:15" x14ac:dyDescent="0.25">
      <c r="A61" s="41">
        <v>58</v>
      </c>
      <c r="B61" s="45">
        <f>'Data &amp; Formulae'!B69</f>
        <v>38353</v>
      </c>
      <c r="C61" s="46">
        <f>'Data &amp; Formulae'!C69</f>
        <v>4115</v>
      </c>
      <c r="D61" s="41">
        <f>'Data &amp; Formulae'!D69</f>
        <v>19</v>
      </c>
      <c r="E61" s="47">
        <f>'Data &amp; Formulae'!E69</f>
        <v>9219.3499999999985</v>
      </c>
      <c r="F61" s="51">
        <f t="shared" si="11"/>
        <v>1</v>
      </c>
      <c r="G61" s="41">
        <f t="shared" si="12"/>
        <v>0</v>
      </c>
      <c r="H61" s="41">
        <f t="shared" si="13"/>
        <v>0</v>
      </c>
      <c r="I61" s="41">
        <f t="shared" si="6"/>
        <v>0</v>
      </c>
      <c r="J61" s="48">
        <f t="shared" si="14"/>
        <v>4115</v>
      </c>
      <c r="K61" s="54">
        <v>42005</v>
      </c>
      <c r="L61" s="42">
        <f t="shared" si="16"/>
        <v>19</v>
      </c>
      <c r="M61" s="50">
        <f t="shared" si="7"/>
        <v>9219.3499999999985</v>
      </c>
      <c r="N61" s="38"/>
      <c r="O61">
        <f t="shared" si="15"/>
        <v>0</v>
      </c>
    </row>
    <row r="62" spans="1:15" x14ac:dyDescent="0.25">
      <c r="A62" s="41">
        <v>59</v>
      </c>
      <c r="B62" s="45">
        <f>'Data &amp; Formulae'!B70</f>
        <v>42005</v>
      </c>
      <c r="C62" s="46">
        <f>'Data &amp; Formulae'!C70</f>
        <v>496</v>
      </c>
      <c r="D62" s="41">
        <f>'Data &amp; Formulae'!D70</f>
        <v>17</v>
      </c>
      <c r="E62" s="47">
        <f>'Data &amp; Formulae'!E70</f>
        <v>3514.37787090656</v>
      </c>
      <c r="F62" s="41">
        <f t="shared" si="11"/>
        <v>0</v>
      </c>
      <c r="G62" s="41">
        <f t="shared" si="12"/>
        <v>0</v>
      </c>
      <c r="H62" s="41">
        <f t="shared" si="13"/>
        <v>0</v>
      </c>
      <c r="I62" s="41">
        <f t="shared" si="6"/>
        <v>0</v>
      </c>
      <c r="J62" s="48">
        <f t="shared" si="14"/>
        <v>496</v>
      </c>
      <c r="K62" s="49">
        <v>42005</v>
      </c>
      <c r="L62" s="42">
        <f t="shared" si="16"/>
        <v>17</v>
      </c>
      <c r="M62" s="50">
        <f t="shared" si="7"/>
        <v>3514.37787090656</v>
      </c>
      <c r="N62" s="38"/>
      <c r="O62">
        <f t="shared" si="15"/>
        <v>0</v>
      </c>
    </row>
    <row r="63" spans="1:15" x14ac:dyDescent="0.25">
      <c r="A63" s="41">
        <v>60</v>
      </c>
      <c r="B63" s="45">
        <f>'Data &amp; Formulae'!B71</f>
        <v>42005</v>
      </c>
      <c r="C63" s="46">
        <f>'Data &amp; Formulae'!C71</f>
        <v>8999</v>
      </c>
      <c r="D63" s="41">
        <f>'Data &amp; Formulae'!D71</f>
        <v>22</v>
      </c>
      <c r="E63" s="47">
        <f>'Data &amp; Formulae'!E71</f>
        <v>4305.7524999999996</v>
      </c>
      <c r="F63" s="41">
        <f t="shared" si="11"/>
        <v>0</v>
      </c>
      <c r="G63" s="41">
        <f t="shared" si="12"/>
        <v>0</v>
      </c>
      <c r="H63" s="41">
        <f t="shared" si="13"/>
        <v>0</v>
      </c>
      <c r="I63" s="41">
        <f t="shared" si="6"/>
        <v>0</v>
      </c>
      <c r="J63" s="48">
        <f t="shared" si="14"/>
        <v>8999</v>
      </c>
      <c r="K63" s="49">
        <v>42005</v>
      </c>
      <c r="L63" s="42">
        <f t="shared" si="16"/>
        <v>22</v>
      </c>
      <c r="M63" s="50">
        <f t="shared" si="7"/>
        <v>4305.7524999999996</v>
      </c>
      <c r="N63" s="38"/>
      <c r="O63">
        <f t="shared" si="15"/>
        <v>0</v>
      </c>
    </row>
    <row r="64" spans="1:15" x14ac:dyDescent="0.25">
      <c r="A64" s="41">
        <v>61</v>
      </c>
      <c r="B64" s="45">
        <f>'Data &amp; Formulae'!B72</f>
        <v>42005</v>
      </c>
      <c r="C64" s="46">
        <f>'Data &amp; Formulae'!C72</f>
        <v>900</v>
      </c>
      <c r="D64" s="41">
        <f>'Data &amp; Formulae'!D72</f>
        <v>28</v>
      </c>
      <c r="E64" s="47">
        <f>'Data &amp; Formulae'!E72</f>
        <v>313.35499999999996</v>
      </c>
      <c r="F64" s="41">
        <f t="shared" si="11"/>
        <v>0</v>
      </c>
      <c r="G64" s="41">
        <f t="shared" si="12"/>
        <v>0</v>
      </c>
      <c r="H64" s="41">
        <f t="shared" si="13"/>
        <v>0</v>
      </c>
      <c r="I64" s="41">
        <f t="shared" si="6"/>
        <v>0</v>
      </c>
      <c r="J64" s="48">
        <f t="shared" si="14"/>
        <v>900</v>
      </c>
      <c r="K64" s="49">
        <v>42005</v>
      </c>
      <c r="L64" s="42">
        <f t="shared" si="16"/>
        <v>28</v>
      </c>
      <c r="M64" s="50">
        <f t="shared" si="7"/>
        <v>313.35499999999996</v>
      </c>
      <c r="N64" s="38"/>
      <c r="O64">
        <f t="shared" si="15"/>
        <v>0</v>
      </c>
    </row>
    <row r="65" spans="1:15" x14ac:dyDescent="0.25">
      <c r="A65" s="41">
        <v>62</v>
      </c>
      <c r="B65" s="45">
        <f>'Data &amp; Formulae'!B73</f>
        <v>42005</v>
      </c>
      <c r="C65" s="46">
        <f>'Data &amp; Formulae'!C73</f>
        <v>4188</v>
      </c>
      <c r="D65" s="41">
        <f>'Data &amp; Formulae'!D73</f>
        <v>8</v>
      </c>
      <c r="E65" s="47">
        <f>'Data &amp; Formulae'!E73</f>
        <v>3562.6674999999996</v>
      </c>
      <c r="F65" s="41">
        <f t="shared" si="11"/>
        <v>0</v>
      </c>
      <c r="G65" s="41">
        <f t="shared" si="12"/>
        <v>0</v>
      </c>
      <c r="H65" s="41">
        <f t="shared" si="13"/>
        <v>0</v>
      </c>
      <c r="I65" s="41">
        <f t="shared" si="6"/>
        <v>0</v>
      </c>
      <c r="J65" s="48">
        <f t="shared" si="14"/>
        <v>4188</v>
      </c>
      <c r="K65" s="49">
        <v>42005</v>
      </c>
      <c r="L65" s="42">
        <f t="shared" si="16"/>
        <v>8</v>
      </c>
      <c r="M65" s="50">
        <f t="shared" si="7"/>
        <v>3562.6674999999996</v>
      </c>
      <c r="N65" s="38"/>
      <c r="O65">
        <f t="shared" si="15"/>
        <v>0</v>
      </c>
    </row>
    <row r="66" spans="1:15" x14ac:dyDescent="0.25">
      <c r="A66" s="41">
        <v>63</v>
      </c>
      <c r="B66" s="45">
        <f>'Data &amp; Formulae'!B74</f>
        <v>42005</v>
      </c>
      <c r="C66" s="46">
        <f>'Data &amp; Formulae'!C74</f>
        <v>3867</v>
      </c>
      <c r="D66" s="41">
        <f>'Data &amp; Formulae'!D74</f>
        <v>12</v>
      </c>
      <c r="E66" s="47">
        <f>'Data &amp; Formulae'!E74</f>
        <v>5320.4199999999992</v>
      </c>
      <c r="F66" s="41">
        <f t="shared" si="11"/>
        <v>0</v>
      </c>
      <c r="G66" s="41">
        <f t="shared" si="12"/>
        <v>0</v>
      </c>
      <c r="H66" s="41">
        <f t="shared" si="13"/>
        <v>0</v>
      </c>
      <c r="I66" s="41">
        <f t="shared" si="6"/>
        <v>0</v>
      </c>
      <c r="J66" s="48">
        <f t="shared" si="14"/>
        <v>3867</v>
      </c>
      <c r="K66" s="49">
        <v>42005</v>
      </c>
      <c r="L66" s="42">
        <f t="shared" si="16"/>
        <v>12</v>
      </c>
      <c r="M66" s="50">
        <f t="shared" si="7"/>
        <v>5320.4199999999992</v>
      </c>
      <c r="N66" s="38"/>
      <c r="O66">
        <f t="shared" si="15"/>
        <v>0</v>
      </c>
    </row>
    <row r="67" spans="1:15" x14ac:dyDescent="0.25">
      <c r="A67" s="41">
        <v>64</v>
      </c>
      <c r="B67" s="45">
        <f>'Data &amp; Formulae'!B75</f>
        <v>42005</v>
      </c>
      <c r="C67" s="46">
        <f>'Data &amp; Formulae'!C75</f>
        <v>3821</v>
      </c>
      <c r="D67" s="41">
        <f>'Data &amp; Formulae'!D75</f>
        <v>24</v>
      </c>
      <c r="E67" s="47">
        <f>'Data &amp; Formulae'!E75</f>
        <v>1365.0174999999999</v>
      </c>
      <c r="F67" s="41">
        <f t="shared" si="11"/>
        <v>0</v>
      </c>
      <c r="G67" s="41">
        <f t="shared" si="12"/>
        <v>0</v>
      </c>
      <c r="H67" s="41">
        <f t="shared" si="13"/>
        <v>0</v>
      </c>
      <c r="I67" s="41">
        <f t="shared" si="6"/>
        <v>0</v>
      </c>
      <c r="J67" s="48">
        <f t="shared" si="14"/>
        <v>3821</v>
      </c>
      <c r="K67" s="49">
        <v>42005</v>
      </c>
      <c r="L67" s="42">
        <f t="shared" si="16"/>
        <v>24</v>
      </c>
      <c r="M67" s="50">
        <f t="shared" si="7"/>
        <v>1365.0174999999999</v>
      </c>
      <c r="N67" s="38"/>
      <c r="O67">
        <f t="shared" si="15"/>
        <v>0</v>
      </c>
    </row>
    <row r="68" spans="1:15" x14ac:dyDescent="0.25">
      <c r="A68" s="41">
        <v>65</v>
      </c>
      <c r="B68" s="45">
        <f>'Data &amp; Formulae'!B76</f>
        <v>42005</v>
      </c>
      <c r="C68" s="46">
        <f>'Data &amp; Formulae'!C76</f>
        <v>9783</v>
      </c>
      <c r="D68" s="41">
        <f>'Data &amp; Formulae'!D76</f>
        <v>9</v>
      </c>
      <c r="E68" s="47">
        <f>'Data &amp; Formulae'!E76</f>
        <v>1404.2174999999997</v>
      </c>
      <c r="F68" s="41">
        <f t="shared" ref="F68:F83" si="17">IF(OR(B68&lt;FirstStartDate,B68&gt;LastStartDate),1,0)</f>
        <v>0</v>
      </c>
      <c r="G68" s="41">
        <f t="shared" ref="G68:G83" si="18">IF(OR(C68&lt;MinPrem,C68&gt;MaxPrem),1,0)</f>
        <v>0</v>
      </c>
      <c r="H68" s="41">
        <f t="shared" ref="H68:H83" si="19">IF(OR(D68&lt;MinTerm,D68&gt;MaxTerm),1,0)</f>
        <v>0</v>
      </c>
      <c r="I68" s="41">
        <f t="shared" si="6"/>
        <v>0</v>
      </c>
      <c r="J68" s="48">
        <f t="shared" si="14"/>
        <v>9783</v>
      </c>
      <c r="K68" s="49">
        <v>42005</v>
      </c>
      <c r="L68" s="42">
        <f t="shared" si="16"/>
        <v>9</v>
      </c>
      <c r="M68" s="50">
        <f t="shared" si="7"/>
        <v>1404.2174999999997</v>
      </c>
      <c r="N68" s="38"/>
      <c r="O68">
        <f t="shared" ref="O68:O83" si="20">IF(YEAR(K68)+L68&lt;YEAR(ValDate),1,0)</f>
        <v>0</v>
      </c>
    </row>
    <row r="69" spans="1:15" x14ac:dyDescent="0.25">
      <c r="A69" s="41">
        <v>66</v>
      </c>
      <c r="B69" s="45">
        <f>'Data &amp; Formulae'!B77</f>
        <v>42005</v>
      </c>
      <c r="C69" s="46">
        <f>'Data &amp; Formulae'!C77</f>
        <v>6394</v>
      </c>
      <c r="D69" s="41">
        <f>'Data &amp; Formulae'!D77</f>
        <v>24</v>
      </c>
      <c r="E69" s="47">
        <f>'Data &amp; Formulae'!E77</f>
        <v>1583.4349999999997</v>
      </c>
      <c r="F69" s="41">
        <f t="shared" si="17"/>
        <v>0</v>
      </c>
      <c r="G69" s="41">
        <f t="shared" si="18"/>
        <v>0</v>
      </c>
      <c r="H69" s="41">
        <f t="shared" si="19"/>
        <v>0</v>
      </c>
      <c r="I69" s="41">
        <f t="shared" ref="I69:I83" si="21">IF(E69&lt;0,1,0)</f>
        <v>0</v>
      </c>
      <c r="J69" s="48">
        <f t="shared" si="14"/>
        <v>6394</v>
      </c>
      <c r="K69" s="49">
        <v>42005</v>
      </c>
      <c r="L69" s="42">
        <f t="shared" ref="L69:L83" si="22">D69</f>
        <v>24</v>
      </c>
      <c r="M69" s="50">
        <f t="shared" ref="M69:M83" si="23">IF(I69=0,E69,0)</f>
        <v>1583.4349999999997</v>
      </c>
      <c r="N69" s="38"/>
      <c r="O69">
        <f t="shared" si="20"/>
        <v>0</v>
      </c>
    </row>
    <row r="70" spans="1:15" x14ac:dyDescent="0.25">
      <c r="A70" s="41">
        <v>67</v>
      </c>
      <c r="B70" s="45">
        <f>'Data &amp; Formulae'!B78</f>
        <v>42005</v>
      </c>
      <c r="C70" s="46">
        <f>'Data &amp; Formulae'!C78</f>
        <v>1466</v>
      </c>
      <c r="D70" s="41">
        <f>'Data &amp; Formulae'!D78</f>
        <v>11</v>
      </c>
      <c r="E70" s="47">
        <f>'Data &amp; Formulae'!E78</f>
        <v>10387.25394909076</v>
      </c>
      <c r="F70" s="41">
        <f t="shared" si="17"/>
        <v>0</v>
      </c>
      <c r="G70" s="41">
        <f t="shared" si="18"/>
        <v>0</v>
      </c>
      <c r="H70" s="41">
        <f t="shared" si="19"/>
        <v>0</v>
      </c>
      <c r="I70" s="51">
        <f t="shared" si="21"/>
        <v>0</v>
      </c>
      <c r="J70" s="48">
        <f t="shared" si="14"/>
        <v>1466</v>
      </c>
      <c r="K70" s="49">
        <v>42005</v>
      </c>
      <c r="L70" s="42">
        <f t="shared" si="22"/>
        <v>11</v>
      </c>
      <c r="M70" s="50">
        <f t="shared" si="23"/>
        <v>10387.25394909076</v>
      </c>
      <c r="N70" s="38"/>
      <c r="O70">
        <f t="shared" si="20"/>
        <v>0</v>
      </c>
    </row>
    <row r="71" spans="1:15" x14ac:dyDescent="0.25">
      <c r="A71" s="41">
        <v>68</v>
      </c>
      <c r="B71" s="45">
        <f>'Data &amp; Formulae'!B79</f>
        <v>42005</v>
      </c>
      <c r="C71" s="46">
        <f>'Data &amp; Formulae'!C79</f>
        <v>2173</v>
      </c>
      <c r="D71" s="41">
        <f>'Data &amp; Formulae'!D79</f>
        <v>11</v>
      </c>
      <c r="E71" s="47">
        <f>'Data &amp; Formulae'!E79</f>
        <v>15396.659502983779</v>
      </c>
      <c r="F71" s="41">
        <f t="shared" si="17"/>
        <v>0</v>
      </c>
      <c r="G71" s="41">
        <f t="shared" si="18"/>
        <v>0</v>
      </c>
      <c r="H71" s="41">
        <f t="shared" si="19"/>
        <v>0</v>
      </c>
      <c r="I71" s="41">
        <f t="shared" si="21"/>
        <v>0</v>
      </c>
      <c r="J71" s="48">
        <f t="shared" si="14"/>
        <v>2173</v>
      </c>
      <c r="K71" s="49">
        <v>42005</v>
      </c>
      <c r="L71" s="42">
        <f t="shared" si="22"/>
        <v>11</v>
      </c>
      <c r="M71" s="50">
        <f t="shared" si="23"/>
        <v>15396.659502983779</v>
      </c>
      <c r="N71" s="38"/>
      <c r="O71">
        <f t="shared" si="20"/>
        <v>0</v>
      </c>
    </row>
    <row r="72" spans="1:15" x14ac:dyDescent="0.25">
      <c r="A72" s="41">
        <v>69</v>
      </c>
      <c r="B72" s="45">
        <f>'Data &amp; Formulae'!B80</f>
        <v>42005</v>
      </c>
      <c r="C72" s="46">
        <f>'Data &amp; Formulae'!C80</f>
        <v>5525</v>
      </c>
      <c r="D72" s="41">
        <f>'Data &amp; Formulae'!D80</f>
        <v>19</v>
      </c>
      <c r="E72" s="47">
        <f>'Data &amp; Formulae'!E80</f>
        <v>12270.334999999999</v>
      </c>
      <c r="F72" s="41">
        <f t="shared" si="17"/>
        <v>0</v>
      </c>
      <c r="G72" s="41">
        <f t="shared" si="18"/>
        <v>0</v>
      </c>
      <c r="H72" s="41">
        <f t="shared" si="19"/>
        <v>0</v>
      </c>
      <c r="I72" s="41">
        <f t="shared" si="21"/>
        <v>0</v>
      </c>
      <c r="J72" s="48">
        <f t="shared" si="14"/>
        <v>5525</v>
      </c>
      <c r="K72" s="49">
        <v>42005</v>
      </c>
      <c r="L72" s="42">
        <f t="shared" si="22"/>
        <v>19</v>
      </c>
      <c r="M72" s="50">
        <f t="shared" si="23"/>
        <v>12270.334999999999</v>
      </c>
      <c r="N72" s="38"/>
      <c r="O72">
        <f t="shared" si="20"/>
        <v>0</v>
      </c>
    </row>
    <row r="73" spans="1:15" x14ac:dyDescent="0.25">
      <c r="A73" s="41">
        <v>70</v>
      </c>
      <c r="B73" s="45">
        <f>'Data &amp; Formulae'!B81</f>
        <v>42005</v>
      </c>
      <c r="C73" s="46">
        <f>'Data &amp; Formulae'!C81</f>
        <v>6181</v>
      </c>
      <c r="D73" s="41">
        <f>'Data &amp; Formulae'!D81</f>
        <v>25</v>
      </c>
      <c r="E73" s="47">
        <f>'Data &amp; Formulae'!E81</f>
        <v>3881.7799999999993</v>
      </c>
      <c r="F73" s="41">
        <f t="shared" si="17"/>
        <v>0</v>
      </c>
      <c r="G73" s="41">
        <f t="shared" si="18"/>
        <v>0</v>
      </c>
      <c r="H73" s="41">
        <f t="shared" si="19"/>
        <v>0</v>
      </c>
      <c r="I73" s="41">
        <f t="shared" si="21"/>
        <v>0</v>
      </c>
      <c r="J73" s="48">
        <f t="shared" si="14"/>
        <v>6181</v>
      </c>
      <c r="K73" s="49">
        <v>42005</v>
      </c>
      <c r="L73" s="42">
        <f t="shared" si="22"/>
        <v>25</v>
      </c>
      <c r="M73" s="50">
        <f t="shared" si="23"/>
        <v>3881.7799999999993</v>
      </c>
      <c r="N73" s="38"/>
      <c r="O73">
        <f t="shared" si="20"/>
        <v>0</v>
      </c>
    </row>
    <row r="74" spans="1:15" x14ac:dyDescent="0.25">
      <c r="A74" s="41">
        <v>71</v>
      </c>
      <c r="B74" s="45">
        <f>'Data &amp; Formulae'!B82</f>
        <v>42005</v>
      </c>
      <c r="C74" s="46">
        <f>'Data &amp; Formulae'!C82</f>
        <v>6994</v>
      </c>
      <c r="D74" s="41">
        <f>'Data &amp; Formulae'!D82</f>
        <v>9</v>
      </c>
      <c r="E74" s="47">
        <f>'Data &amp; Formulae'!E82</f>
        <v>7195.7724999999991</v>
      </c>
      <c r="F74" s="41">
        <f t="shared" si="17"/>
        <v>0</v>
      </c>
      <c r="G74" s="41">
        <f t="shared" si="18"/>
        <v>0</v>
      </c>
      <c r="H74" s="41">
        <f t="shared" si="19"/>
        <v>0</v>
      </c>
      <c r="I74" s="41">
        <f t="shared" si="21"/>
        <v>0</v>
      </c>
      <c r="J74" s="48">
        <f t="shared" si="14"/>
        <v>6994</v>
      </c>
      <c r="K74" s="49">
        <v>42005</v>
      </c>
      <c r="L74" s="42">
        <f t="shared" si="22"/>
        <v>9</v>
      </c>
      <c r="M74" s="50">
        <f t="shared" si="23"/>
        <v>7195.7724999999991</v>
      </c>
      <c r="N74" s="38"/>
      <c r="O74">
        <f t="shared" si="20"/>
        <v>0</v>
      </c>
    </row>
    <row r="75" spans="1:15" x14ac:dyDescent="0.25">
      <c r="A75" s="41">
        <v>72</v>
      </c>
      <c r="B75" s="45">
        <f>'Data &amp; Formulae'!B83</f>
        <v>43101</v>
      </c>
      <c r="C75" s="46">
        <f>'Data &amp; Formulae'!C83</f>
        <v>3505</v>
      </c>
      <c r="D75" s="41">
        <f>'Data &amp; Formulae'!D83</f>
        <v>7</v>
      </c>
      <c r="E75" s="47">
        <f>'Data &amp; Formulae'!E83</f>
        <v>11556.034070000002</v>
      </c>
      <c r="F75" s="41">
        <f t="shared" si="17"/>
        <v>0</v>
      </c>
      <c r="G75" s="41">
        <f t="shared" si="18"/>
        <v>0</v>
      </c>
      <c r="H75" s="41">
        <f t="shared" si="19"/>
        <v>0</v>
      </c>
      <c r="I75" s="41">
        <f t="shared" si="21"/>
        <v>0</v>
      </c>
      <c r="J75" s="48">
        <f t="shared" si="14"/>
        <v>3505</v>
      </c>
      <c r="K75" s="49">
        <v>43101</v>
      </c>
      <c r="L75" s="42">
        <f t="shared" si="22"/>
        <v>7</v>
      </c>
      <c r="M75" s="50">
        <f t="shared" si="23"/>
        <v>11556.034070000002</v>
      </c>
      <c r="N75" s="38"/>
      <c r="O75">
        <f t="shared" si="20"/>
        <v>0</v>
      </c>
    </row>
    <row r="76" spans="1:15" x14ac:dyDescent="0.25">
      <c r="A76" s="41">
        <v>73</v>
      </c>
      <c r="B76" s="45">
        <f>'Data &amp; Formulae'!B84</f>
        <v>43101</v>
      </c>
      <c r="C76" s="46">
        <f>'Data &amp; Formulae'!C84</f>
        <v>7833</v>
      </c>
      <c r="D76" s="41">
        <f>'Data &amp; Formulae'!D84</f>
        <v>21</v>
      </c>
      <c r="E76" s="47">
        <f>'Data &amp; Formulae'!E84</f>
        <v>2245.5474999999997</v>
      </c>
      <c r="F76" s="41">
        <f t="shared" si="17"/>
        <v>0</v>
      </c>
      <c r="G76" s="41">
        <f t="shared" si="18"/>
        <v>0</v>
      </c>
      <c r="H76" s="41">
        <f t="shared" si="19"/>
        <v>0</v>
      </c>
      <c r="I76" s="41">
        <f t="shared" si="21"/>
        <v>0</v>
      </c>
      <c r="J76" s="48">
        <f t="shared" si="14"/>
        <v>7833</v>
      </c>
      <c r="K76" s="49">
        <v>43101</v>
      </c>
      <c r="L76" s="42">
        <f t="shared" si="22"/>
        <v>21</v>
      </c>
      <c r="M76" s="50">
        <f t="shared" si="23"/>
        <v>2245.5474999999997</v>
      </c>
      <c r="N76" s="38"/>
      <c r="O76">
        <f t="shared" si="20"/>
        <v>0</v>
      </c>
    </row>
    <row r="77" spans="1:15" x14ac:dyDescent="0.25">
      <c r="A77" s="41">
        <v>74</v>
      </c>
      <c r="B77" s="45">
        <f>'Data &amp; Formulae'!B85</f>
        <v>43101</v>
      </c>
      <c r="C77" s="46">
        <f>'Data &amp; Formulae'!C85</f>
        <v>6404</v>
      </c>
      <c r="D77" s="41">
        <f>'Data &amp; Formulae'!D85</f>
        <v>4</v>
      </c>
      <c r="E77" s="47">
        <f>'Data &amp; Formulae'!E85</f>
        <v>2605.0849999999996</v>
      </c>
      <c r="F77" s="41">
        <f t="shared" si="17"/>
        <v>0</v>
      </c>
      <c r="G77" s="41">
        <f t="shared" si="18"/>
        <v>0</v>
      </c>
      <c r="H77" s="41">
        <f t="shared" si="19"/>
        <v>0</v>
      </c>
      <c r="I77" s="41">
        <f t="shared" si="21"/>
        <v>0</v>
      </c>
      <c r="J77" s="48">
        <f t="shared" si="14"/>
        <v>6404</v>
      </c>
      <c r="K77" s="49">
        <v>43101</v>
      </c>
      <c r="L77" s="42">
        <f t="shared" si="22"/>
        <v>4</v>
      </c>
      <c r="M77" s="50">
        <f t="shared" si="23"/>
        <v>2605.0849999999996</v>
      </c>
      <c r="N77" s="38"/>
      <c r="O77">
        <f t="shared" si="20"/>
        <v>0</v>
      </c>
    </row>
    <row r="78" spans="1:15" x14ac:dyDescent="0.25">
      <c r="A78" s="41">
        <v>75</v>
      </c>
      <c r="B78" s="45">
        <f>'Data &amp; Formulae'!B86</f>
        <v>43101</v>
      </c>
      <c r="C78" s="46">
        <f>'Data &amp; Formulae'!C86</f>
        <v>2449</v>
      </c>
      <c r="D78" s="41">
        <f>'Data &amp; Formulae'!D86</f>
        <v>27</v>
      </c>
      <c r="E78" s="47">
        <f>'Data &amp; Formulae'!E86</f>
        <v>8074.3872860000001</v>
      </c>
      <c r="F78" s="41">
        <f t="shared" si="17"/>
        <v>0</v>
      </c>
      <c r="G78" s="41">
        <f t="shared" si="18"/>
        <v>0</v>
      </c>
      <c r="H78" s="41">
        <f t="shared" si="19"/>
        <v>0</v>
      </c>
      <c r="I78" s="41">
        <f t="shared" si="21"/>
        <v>0</v>
      </c>
      <c r="J78" s="48">
        <f t="shared" si="14"/>
        <v>2449</v>
      </c>
      <c r="K78" s="49">
        <v>43101</v>
      </c>
      <c r="L78" s="42">
        <f t="shared" si="22"/>
        <v>27</v>
      </c>
      <c r="M78" s="50">
        <f t="shared" si="23"/>
        <v>8074.3872860000001</v>
      </c>
      <c r="N78" s="38"/>
      <c r="O78">
        <f t="shared" si="20"/>
        <v>0</v>
      </c>
    </row>
    <row r="79" spans="1:15" x14ac:dyDescent="0.25">
      <c r="A79" s="41">
        <v>76</v>
      </c>
      <c r="B79" s="45">
        <f>'Data &amp; Formulae'!B87</f>
        <v>43466</v>
      </c>
      <c r="C79" s="46">
        <f>'Data &amp; Formulae'!C87</f>
        <v>7555</v>
      </c>
      <c r="D79" s="41">
        <f>'Data &amp; Formulae'!D87</f>
        <v>25</v>
      </c>
      <c r="E79" s="47">
        <f>'Data &amp; Formulae'!E87</f>
        <v>15622.229000000001</v>
      </c>
      <c r="F79" s="41">
        <f t="shared" si="17"/>
        <v>0</v>
      </c>
      <c r="G79" s="41">
        <f t="shared" si="18"/>
        <v>0</v>
      </c>
      <c r="H79" s="41">
        <f t="shared" si="19"/>
        <v>0</v>
      </c>
      <c r="I79" s="41">
        <f t="shared" si="21"/>
        <v>0</v>
      </c>
      <c r="J79" s="48">
        <f t="shared" si="14"/>
        <v>7555</v>
      </c>
      <c r="K79" s="49">
        <v>43466</v>
      </c>
      <c r="L79" s="42">
        <f t="shared" si="22"/>
        <v>25</v>
      </c>
      <c r="M79" s="50">
        <f t="shared" si="23"/>
        <v>15622.229000000001</v>
      </c>
      <c r="N79" s="38"/>
      <c r="O79">
        <f t="shared" si="20"/>
        <v>0</v>
      </c>
    </row>
    <row r="80" spans="1:15" x14ac:dyDescent="0.25">
      <c r="A80" s="41">
        <v>77</v>
      </c>
      <c r="B80" s="45">
        <f>'Data &amp; Formulae'!B88</f>
        <v>43466</v>
      </c>
      <c r="C80" s="46">
        <f>'Data &amp; Formulae'!C88</f>
        <v>1857</v>
      </c>
      <c r="D80" s="41">
        <f>'Data &amp; Formulae'!D88</f>
        <v>5</v>
      </c>
      <c r="E80" s="47">
        <f>'Data &amp; Formulae'!E88</f>
        <v>3839.9045999999998</v>
      </c>
      <c r="F80" s="41">
        <f t="shared" si="17"/>
        <v>0</v>
      </c>
      <c r="G80" s="41">
        <f t="shared" si="18"/>
        <v>0</v>
      </c>
      <c r="H80" s="41">
        <f t="shared" si="19"/>
        <v>0</v>
      </c>
      <c r="I80" s="41">
        <f t="shared" si="21"/>
        <v>0</v>
      </c>
      <c r="J80" s="48">
        <f t="shared" si="14"/>
        <v>1857</v>
      </c>
      <c r="K80" s="49">
        <v>43466</v>
      </c>
      <c r="L80" s="42">
        <f t="shared" si="22"/>
        <v>5</v>
      </c>
      <c r="M80" s="50">
        <f t="shared" si="23"/>
        <v>3839.9045999999998</v>
      </c>
      <c r="N80" s="38"/>
      <c r="O80">
        <f t="shared" si="20"/>
        <v>0</v>
      </c>
    </row>
    <row r="81" spans="1:15" x14ac:dyDescent="0.25">
      <c r="A81" s="41">
        <v>78</v>
      </c>
      <c r="B81" s="45">
        <f>'Data &amp; Formulae'!B89</f>
        <v>39814</v>
      </c>
      <c r="C81" s="46">
        <f>'Data &amp; Formulae'!C89</f>
        <v>5117</v>
      </c>
      <c r="D81" s="41">
        <f>'Data &amp; Formulae'!D89</f>
        <v>7</v>
      </c>
      <c r="E81" s="47">
        <f>'Data &amp; Formulae'!E89</f>
        <v>10580.9326</v>
      </c>
      <c r="F81" s="51">
        <f t="shared" si="17"/>
        <v>1</v>
      </c>
      <c r="G81" s="41">
        <f t="shared" si="18"/>
        <v>0</v>
      </c>
      <c r="H81" s="41">
        <f t="shared" si="19"/>
        <v>0</v>
      </c>
      <c r="I81" s="41">
        <f t="shared" si="21"/>
        <v>0</v>
      </c>
      <c r="J81" s="48">
        <f t="shared" si="14"/>
        <v>5117</v>
      </c>
      <c r="K81" s="54">
        <v>43466</v>
      </c>
      <c r="L81" s="42">
        <f t="shared" si="22"/>
        <v>7</v>
      </c>
      <c r="M81" s="50">
        <f t="shared" si="23"/>
        <v>10580.9326</v>
      </c>
      <c r="N81" s="38"/>
      <c r="O81">
        <f t="shared" si="20"/>
        <v>0</v>
      </c>
    </row>
    <row r="82" spans="1:15" x14ac:dyDescent="0.25">
      <c r="A82" s="41">
        <v>79</v>
      </c>
      <c r="B82" s="45">
        <f>'Data &amp; Formulae'!B90</f>
        <v>43466</v>
      </c>
      <c r="C82" s="46">
        <f>'Data &amp; Formulae'!C90</f>
        <v>5332</v>
      </c>
      <c r="D82" s="41">
        <f>'Data &amp; Formulae'!D90</f>
        <v>18</v>
      </c>
      <c r="E82" s="47">
        <f>'Data &amp; Formulae'!E90</f>
        <v>11025.509599999999</v>
      </c>
      <c r="F82" s="41">
        <f t="shared" si="17"/>
        <v>0</v>
      </c>
      <c r="G82" s="41">
        <f t="shared" si="18"/>
        <v>0</v>
      </c>
      <c r="H82" s="41">
        <f t="shared" si="19"/>
        <v>0</v>
      </c>
      <c r="I82" s="41">
        <f t="shared" si="21"/>
        <v>0</v>
      </c>
      <c r="J82" s="48">
        <f t="shared" si="14"/>
        <v>5332</v>
      </c>
      <c r="K82" s="49">
        <v>43466</v>
      </c>
      <c r="L82" s="42">
        <f t="shared" si="22"/>
        <v>18</v>
      </c>
      <c r="M82" s="50">
        <f t="shared" si="23"/>
        <v>11025.509599999999</v>
      </c>
      <c r="N82" s="38"/>
      <c r="O82">
        <f t="shared" si="20"/>
        <v>0</v>
      </c>
    </row>
    <row r="83" spans="1:15" x14ac:dyDescent="0.25">
      <c r="A83" s="41">
        <v>80</v>
      </c>
      <c r="B83" s="45">
        <f>'Data &amp; Formulae'!B91</f>
        <v>43466</v>
      </c>
      <c r="C83" s="46">
        <f>'Data &amp; Formulae'!C91</f>
        <v>4860</v>
      </c>
      <c r="D83" s="41">
        <f>'Data &amp; Formulae'!D91</f>
        <v>2</v>
      </c>
      <c r="E83" s="47">
        <f>'Data &amp; Formulae'!E91</f>
        <v>10049.508</v>
      </c>
      <c r="F83" s="41">
        <f t="shared" si="17"/>
        <v>0</v>
      </c>
      <c r="G83" s="41">
        <f t="shared" si="18"/>
        <v>0</v>
      </c>
      <c r="H83" s="41">
        <f t="shared" si="19"/>
        <v>0</v>
      </c>
      <c r="I83" s="41">
        <f t="shared" si="21"/>
        <v>0</v>
      </c>
      <c r="J83" s="48">
        <f t="shared" si="14"/>
        <v>4860</v>
      </c>
      <c r="K83" s="49">
        <v>43466</v>
      </c>
      <c r="L83" s="42">
        <f t="shared" si="22"/>
        <v>2</v>
      </c>
      <c r="M83" s="50">
        <f t="shared" si="23"/>
        <v>10049.508</v>
      </c>
      <c r="N83" s="38"/>
      <c r="O83">
        <f t="shared" si="20"/>
        <v>0</v>
      </c>
    </row>
    <row r="84" spans="1:15" x14ac:dyDescent="0.25">
      <c r="B84" s="3"/>
      <c r="C84" s="4"/>
      <c r="E84" s="5"/>
      <c r="K84" s="33"/>
      <c r="L84" s="33"/>
      <c r="M84" s="27"/>
      <c r="N84" s="27"/>
    </row>
    <row r="85" spans="1:15" x14ac:dyDescent="0.25">
      <c r="B85" s="3"/>
      <c r="C85" s="4"/>
      <c r="E85" s="5"/>
      <c r="K85" s="33"/>
      <c r="L85" s="33"/>
      <c r="M85" s="27"/>
      <c r="N85" s="27"/>
    </row>
    <row r="86" spans="1:15" x14ac:dyDescent="0.25">
      <c r="B86" s="3"/>
      <c r="C86" s="4"/>
      <c r="E86" s="5"/>
      <c r="K86" s="33"/>
      <c r="L86" s="33"/>
      <c r="M86" s="27"/>
      <c r="N86" s="27"/>
    </row>
    <row r="87" spans="1:15" x14ac:dyDescent="0.25">
      <c r="B87" s="3"/>
      <c r="C87" s="4"/>
      <c r="E87" s="5"/>
      <c r="K87" s="33"/>
      <c r="L87" s="33"/>
      <c r="M87" s="27"/>
      <c r="N87" s="27"/>
    </row>
    <row r="88" spans="1:15" x14ac:dyDescent="0.25">
      <c r="B88" s="3"/>
      <c r="C88" s="4"/>
      <c r="E88" s="5"/>
      <c r="K88" s="33"/>
      <c r="L88" s="33"/>
      <c r="M88" s="27"/>
      <c r="N88" s="27"/>
    </row>
    <row r="89" spans="1:15" x14ac:dyDescent="0.25">
      <c r="B89" s="3"/>
      <c r="C89" s="4"/>
      <c r="E89" s="5"/>
      <c r="K89" s="33"/>
      <c r="L89" s="33"/>
      <c r="M89" s="27"/>
      <c r="N89" s="27"/>
    </row>
    <row r="90" spans="1:15" x14ac:dyDescent="0.25">
      <c r="B90" s="3"/>
      <c r="C90" s="4"/>
      <c r="E90" s="5"/>
      <c r="K90" s="33"/>
      <c r="L90" s="33"/>
      <c r="M90" s="27"/>
      <c r="N90" s="27"/>
    </row>
    <row r="91" spans="1:15" x14ac:dyDescent="0.25">
      <c r="B91" s="3"/>
      <c r="C91" s="4"/>
      <c r="E91" s="5"/>
      <c r="K91" s="33"/>
      <c r="L91" s="33"/>
      <c r="M91" s="27"/>
      <c r="N91" s="27"/>
    </row>
    <row r="92" spans="1:15" x14ac:dyDescent="0.25">
      <c r="B92" s="3"/>
      <c r="C92" s="4"/>
      <c r="E92" s="5"/>
      <c r="K92" s="33"/>
      <c r="L92" s="33"/>
      <c r="M92" s="27"/>
      <c r="N92" s="27"/>
    </row>
    <row r="93" spans="1:15" x14ac:dyDescent="0.25">
      <c r="B93" s="3"/>
      <c r="C93" s="4"/>
      <c r="E93" s="5"/>
      <c r="K93" s="33"/>
      <c r="L93" s="33"/>
      <c r="M93" s="27"/>
      <c r="N93" s="27"/>
    </row>
    <row r="94" spans="1:15" x14ac:dyDescent="0.25">
      <c r="B94" s="3"/>
      <c r="C94" s="4"/>
      <c r="E94" s="5"/>
      <c r="K94" s="33"/>
      <c r="L94" s="33"/>
      <c r="M94" s="27"/>
      <c r="N94" s="27"/>
    </row>
    <row r="95" spans="1:15" x14ac:dyDescent="0.25">
      <c r="B95" s="3"/>
      <c r="C95" s="4"/>
      <c r="E95" s="5"/>
      <c r="K95" s="33"/>
      <c r="L95" s="33"/>
      <c r="M95" s="27"/>
      <c r="N95" s="27"/>
    </row>
    <row r="96" spans="1:15" x14ac:dyDescent="0.25">
      <c r="B96" s="3"/>
      <c r="C96" s="4"/>
      <c r="E96" s="5"/>
      <c r="K96" s="33"/>
      <c r="L96" s="33"/>
      <c r="M96" s="27"/>
      <c r="N96" s="27"/>
    </row>
    <row r="97" spans="2:14" x14ac:dyDescent="0.25">
      <c r="B97" s="3"/>
      <c r="C97" s="4"/>
      <c r="E97" s="5"/>
      <c r="K97" s="33"/>
      <c r="L97" s="33"/>
      <c r="M97" s="27"/>
      <c r="N97" s="27"/>
    </row>
    <row r="98" spans="2:14" x14ac:dyDescent="0.25">
      <c r="B98" s="3"/>
      <c r="C98" s="4"/>
      <c r="E98" s="5"/>
      <c r="K98" s="33"/>
      <c r="L98" s="33"/>
      <c r="M98" s="27"/>
      <c r="N98" s="27"/>
    </row>
    <row r="99" spans="2:14" x14ac:dyDescent="0.25">
      <c r="B99" s="3"/>
      <c r="C99" s="4"/>
      <c r="E99" s="5"/>
      <c r="K99" s="33"/>
      <c r="L99" s="33"/>
      <c r="M99" s="27"/>
      <c r="N99" s="27"/>
    </row>
    <row r="100" spans="2:14" x14ac:dyDescent="0.25">
      <c r="B100" s="3"/>
      <c r="C100" s="4"/>
      <c r="E100" s="5"/>
      <c r="K100" s="33"/>
      <c r="L100" s="33"/>
      <c r="M100" s="27"/>
      <c r="N100" s="27"/>
    </row>
    <row r="101" spans="2:14" x14ac:dyDescent="0.25">
      <c r="B101" s="3"/>
      <c r="C101" s="4"/>
      <c r="E101" s="5"/>
      <c r="K101" s="33"/>
      <c r="L101" s="33"/>
      <c r="M101" s="27"/>
      <c r="N101" s="27"/>
    </row>
    <row r="102" spans="2:14" x14ac:dyDescent="0.25">
      <c r="B102" s="3"/>
      <c r="C102" s="4"/>
      <c r="E102" s="5"/>
      <c r="K102" s="33"/>
      <c r="L102" s="33"/>
      <c r="M102" s="27"/>
      <c r="N102" s="27"/>
    </row>
    <row r="103" spans="2:14" x14ac:dyDescent="0.25">
      <c r="B103" s="3"/>
      <c r="C103" s="4"/>
      <c r="E103" s="5"/>
      <c r="K103" s="33"/>
      <c r="L103" s="33"/>
      <c r="M103" s="27"/>
      <c r="N103" s="27"/>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03"/>
  <sheetViews>
    <sheetView showGridLines="0" workbookViewId="0">
      <pane ySplit="3" topLeftCell="A4" activePane="bottomLeft" state="frozen"/>
      <selection pane="bottomLeft"/>
    </sheetView>
  </sheetViews>
  <sheetFormatPr defaultColWidth="11" defaultRowHeight="15.75" x14ac:dyDescent="0.25"/>
  <cols>
    <col min="19" max="19" width="18.5" bestFit="1" customWidth="1"/>
    <col min="29" max="29" width="1.375" customWidth="1"/>
    <col min="42" max="42" width="14.875" customWidth="1"/>
    <col min="48" max="48" width="13" bestFit="1" customWidth="1"/>
  </cols>
  <sheetData>
    <row r="1" spans="1:65" ht="16.5" thickBot="1" x14ac:dyDescent="0.3">
      <c r="A1" s="8" t="s">
        <v>27</v>
      </c>
      <c r="B1" s="8"/>
      <c r="C1" s="8"/>
      <c r="D1" s="9"/>
      <c r="E1" s="9"/>
      <c r="F1" s="9"/>
      <c r="G1" s="9"/>
      <c r="H1" s="9"/>
      <c r="I1" s="9"/>
      <c r="J1" s="9"/>
      <c r="K1" s="9"/>
      <c r="L1" s="9"/>
      <c r="M1" s="9"/>
      <c r="N1" s="9"/>
      <c r="O1" s="9"/>
      <c r="P1" s="9"/>
      <c r="Q1" s="9"/>
      <c r="R1" s="9"/>
      <c r="S1" s="9"/>
      <c r="T1" s="9"/>
      <c r="U1" s="9"/>
      <c r="V1" s="9"/>
      <c r="W1" s="9"/>
      <c r="X1" s="9"/>
      <c r="Y1" s="9"/>
      <c r="Z1" s="9"/>
      <c r="AA1" s="9"/>
      <c r="AB1" s="9"/>
      <c r="AC1" s="9"/>
      <c r="AD1" s="9"/>
      <c r="AE1" s="9"/>
      <c r="AG1" s="9"/>
      <c r="AH1" s="9"/>
      <c r="AJ1" s="14"/>
      <c r="AK1" s="14"/>
      <c r="AL1" s="91">
        <f>(SUMIF('Data &amp; Formulae'!$F$12:$F$91,"Y",Calculations!$AF$4:$AF$83)-SUM(AJ4:AJ83))/((SUM(AK4:AK83))+(SUM(AI4:AI83)-SUM(AJ4:AJ83)))</f>
        <v>1.0043233274876819</v>
      </c>
      <c r="AM1" s="14"/>
      <c r="AN1" s="9"/>
      <c r="AO1" s="91"/>
      <c r="AP1" s="9"/>
      <c r="AQ1" s="9"/>
      <c r="AR1" s="9"/>
      <c r="AS1" s="9"/>
      <c r="AT1" s="91">
        <f>(SUMIF('Data &amp; Formulae'!$F$12:$F$91,"Y",Calculations!$AF$4:$AF$83)-SUM(AR4:AR83))/((SUM(AS4:AS83))+(SUM(AQ4:AQ83)-SUM(AR4:AR83)))</f>
        <v>1.0045971604580677</v>
      </c>
      <c r="AU1" s="9"/>
      <c r="AW1" s="88" t="s">
        <v>76</v>
      </c>
    </row>
    <row r="2" spans="1:65" x14ac:dyDescent="0.25">
      <c r="A2" s="93" t="s">
        <v>70</v>
      </c>
      <c r="B2" s="94"/>
      <c r="C2" s="94"/>
      <c r="D2" s="94"/>
      <c r="E2" s="94"/>
      <c r="F2" s="94"/>
      <c r="G2" s="103" t="s">
        <v>55</v>
      </c>
      <c r="H2" s="103"/>
      <c r="I2" s="103"/>
      <c r="J2" s="103"/>
      <c r="K2" s="103"/>
      <c r="L2" s="103"/>
      <c r="M2" s="103"/>
      <c r="N2" s="103"/>
      <c r="O2" s="103"/>
      <c r="P2" s="103"/>
      <c r="Q2" s="103"/>
      <c r="R2" s="104" t="s">
        <v>71</v>
      </c>
      <c r="S2" s="104"/>
      <c r="T2" s="104"/>
      <c r="U2" s="104"/>
      <c r="V2" s="104"/>
      <c r="W2" s="104"/>
      <c r="X2" s="104"/>
      <c r="Y2" s="104"/>
      <c r="Z2" s="104"/>
      <c r="AA2" s="104"/>
      <c r="AB2" s="104"/>
      <c r="AC2" s="83"/>
      <c r="AD2" s="105" t="s">
        <v>72</v>
      </c>
      <c r="AE2" s="105"/>
      <c r="AF2" s="105"/>
      <c r="AG2" s="105"/>
      <c r="AH2" s="105"/>
      <c r="AI2" s="95" t="s">
        <v>73</v>
      </c>
      <c r="AJ2" s="95"/>
      <c r="AK2" s="95"/>
      <c r="AL2" s="96"/>
      <c r="AM2" s="97" t="s">
        <v>42</v>
      </c>
      <c r="AN2" s="98" t="s">
        <v>42</v>
      </c>
      <c r="AO2" s="99" t="s">
        <v>42</v>
      </c>
      <c r="AP2" s="100" t="s">
        <v>45</v>
      </c>
      <c r="AQ2" s="101" t="s">
        <v>45</v>
      </c>
      <c r="AR2" s="101" t="s">
        <v>45</v>
      </c>
      <c r="AS2" s="101" t="s">
        <v>45</v>
      </c>
      <c r="AT2" s="102" t="s">
        <v>45</v>
      </c>
      <c r="AU2" s="97" t="s">
        <v>59</v>
      </c>
      <c r="AV2" s="99" t="s">
        <v>59</v>
      </c>
      <c r="AY2" s="92" t="s">
        <v>78</v>
      </c>
      <c r="AZ2" s="92"/>
      <c r="BA2" s="92"/>
      <c r="BB2" s="92"/>
      <c r="BC2" s="92"/>
      <c r="BD2" s="92"/>
      <c r="BE2" s="92"/>
      <c r="BF2" s="92"/>
      <c r="BG2" s="92"/>
      <c r="BH2" s="92"/>
    </row>
    <row r="3" spans="1:65" ht="60" x14ac:dyDescent="0.25">
      <c r="A3" s="65" t="s">
        <v>1</v>
      </c>
      <c r="B3" s="66" t="s">
        <v>2</v>
      </c>
      <c r="C3" s="66" t="s">
        <v>21</v>
      </c>
      <c r="D3" s="66" t="s">
        <v>4</v>
      </c>
      <c r="E3" s="66" t="s">
        <v>5</v>
      </c>
      <c r="F3" s="66" t="str">
        <f>'Data &amp; Formulae'!H11</f>
        <v>Claims made in past?</v>
      </c>
      <c r="G3" s="66">
        <v>2010</v>
      </c>
      <c r="H3" s="66">
        <f>G3+1</f>
        <v>2011</v>
      </c>
      <c r="I3" s="66">
        <f t="shared" ref="I3:Q3" si="0">H3+1</f>
        <v>2012</v>
      </c>
      <c r="J3" s="66">
        <f t="shared" si="0"/>
        <v>2013</v>
      </c>
      <c r="K3" s="66">
        <f t="shared" si="0"/>
        <v>2014</v>
      </c>
      <c r="L3" s="66">
        <f t="shared" si="0"/>
        <v>2015</v>
      </c>
      <c r="M3" s="66">
        <f t="shared" si="0"/>
        <v>2016</v>
      </c>
      <c r="N3" s="66">
        <f t="shared" si="0"/>
        <v>2017</v>
      </c>
      <c r="O3" s="66">
        <f t="shared" si="0"/>
        <v>2018</v>
      </c>
      <c r="P3" s="66">
        <f t="shared" si="0"/>
        <v>2019</v>
      </c>
      <c r="Q3" s="66">
        <f t="shared" si="0"/>
        <v>2020</v>
      </c>
      <c r="R3" s="66">
        <v>2010</v>
      </c>
      <c r="S3" s="66">
        <v>2011</v>
      </c>
      <c r="T3" s="66">
        <v>2012</v>
      </c>
      <c r="U3" s="66">
        <v>2013</v>
      </c>
      <c r="V3" s="66">
        <v>2014</v>
      </c>
      <c r="W3" s="66">
        <v>2015</v>
      </c>
      <c r="X3" s="66">
        <v>2016</v>
      </c>
      <c r="Y3" s="66">
        <v>2017</v>
      </c>
      <c r="Z3" s="66">
        <v>2018</v>
      </c>
      <c r="AA3" s="66">
        <v>2019</v>
      </c>
      <c r="AB3" s="68">
        <v>2020</v>
      </c>
      <c r="AC3" s="84"/>
      <c r="AD3" s="66" t="s">
        <v>63</v>
      </c>
      <c r="AE3" s="66" t="s">
        <v>58</v>
      </c>
      <c r="AF3" s="66" t="s">
        <v>74</v>
      </c>
      <c r="AG3" s="66" t="s">
        <v>75</v>
      </c>
      <c r="AH3" s="66" t="s">
        <v>35</v>
      </c>
      <c r="AI3" s="66" t="s">
        <v>43</v>
      </c>
      <c r="AJ3" s="68" t="s">
        <v>44</v>
      </c>
      <c r="AK3" s="68" t="s">
        <v>56</v>
      </c>
      <c r="AL3" s="69" t="s">
        <v>38</v>
      </c>
      <c r="AM3" s="70" t="s">
        <v>44</v>
      </c>
      <c r="AN3" s="68" t="s">
        <v>56</v>
      </c>
      <c r="AO3" s="69" t="s">
        <v>38</v>
      </c>
      <c r="AP3" s="65" t="s">
        <v>35</v>
      </c>
      <c r="AQ3" s="66" t="s">
        <v>43</v>
      </c>
      <c r="AR3" s="66" t="s">
        <v>44</v>
      </c>
      <c r="AS3" s="68" t="s">
        <v>56</v>
      </c>
      <c r="AT3" s="69" t="s">
        <v>38</v>
      </c>
      <c r="AU3" s="66" t="s">
        <v>65</v>
      </c>
      <c r="AV3" s="69" t="s">
        <v>38</v>
      </c>
      <c r="AX3" s="88" t="s">
        <v>77</v>
      </c>
      <c r="AY3" s="66">
        <v>2011</v>
      </c>
      <c r="AZ3" s="66">
        <v>2012</v>
      </c>
      <c r="BA3" s="66">
        <v>2013</v>
      </c>
      <c r="BB3" s="66">
        <v>2014</v>
      </c>
      <c r="BC3" s="66">
        <v>2015</v>
      </c>
      <c r="BD3" s="66">
        <v>2016</v>
      </c>
      <c r="BE3" s="66">
        <v>2017</v>
      </c>
      <c r="BF3" s="66">
        <v>2018</v>
      </c>
      <c r="BG3" s="66">
        <v>2019</v>
      </c>
      <c r="BH3" s="68">
        <v>2020</v>
      </c>
    </row>
    <row r="4" spans="1:65" x14ac:dyDescent="0.25">
      <c r="A4" s="77">
        <f>'Amended Data'!A4</f>
        <v>1</v>
      </c>
      <c r="B4" s="75">
        <f>'Amended Data'!K4</f>
        <v>40179</v>
      </c>
      <c r="C4" s="55">
        <f>'Amended Data'!J4</f>
        <v>980</v>
      </c>
      <c r="D4" s="56">
        <f>'Amended Data'!L4</f>
        <v>18</v>
      </c>
      <c r="E4" s="57">
        <f>'Amended Data'!M4</f>
        <v>1770.2474999999997</v>
      </c>
      <c r="F4" s="57" t="str">
        <f>'Data &amp; Formulae'!H12</f>
        <v>Y</v>
      </c>
      <c r="G4" s="57">
        <f>IF(YEAR($B4)&lt;=G$3,$C4,0)</f>
        <v>980</v>
      </c>
      <c r="H4" s="57">
        <f t="shared" ref="H4:Q19" si="1">IF(YEAR($B4)&lt;=H$3,$C4,0)</f>
        <v>980</v>
      </c>
      <c r="I4" s="57">
        <f t="shared" si="1"/>
        <v>980</v>
      </c>
      <c r="J4" s="57">
        <f t="shared" si="1"/>
        <v>980</v>
      </c>
      <c r="K4" s="57">
        <f t="shared" si="1"/>
        <v>980</v>
      </c>
      <c r="L4" s="57">
        <f t="shared" si="1"/>
        <v>980</v>
      </c>
      <c r="M4" s="57">
        <f t="shared" si="1"/>
        <v>980</v>
      </c>
      <c r="N4" s="57">
        <f t="shared" si="1"/>
        <v>980</v>
      </c>
      <c r="O4" s="57">
        <f t="shared" si="1"/>
        <v>980</v>
      </c>
      <c r="P4" s="57">
        <f t="shared" si="1"/>
        <v>980</v>
      </c>
      <c r="Q4" s="57">
        <f t="shared" si="1"/>
        <v>980</v>
      </c>
      <c r="R4" s="57">
        <f>IF(R$3=2010,G4*(1+VLOOKUP(R$3,'Returns &amp; Bonus'!$A$5:$B$15,2,0)),(G4+Q4)*(1+VLOOKUP(R$3,'Returns &amp; Bonus'!$A$5:$B$15,2,0)))</f>
        <v>950.6</v>
      </c>
      <c r="S4" s="57">
        <f>IF(S$3=2010,H4*(1+VLOOKUP(S$3,'Returns &amp; Bonus'!$A$5:$B$15,2,0)),(H4+R4)*(1+VLOOKUP(S$3,'Returns &amp; Bonus'!$A$5:$B$15,2,0)))</f>
        <v>2162.2719999999999</v>
      </c>
      <c r="T4" s="57">
        <f>IF(T$3=2010,I4*(1+VLOOKUP(T$3,'Returns &amp; Bonus'!$A$5:$B$15,2,0)),(I4+S4)*(1+VLOOKUP(T$3,'Returns &amp; Bonus'!$A$5:$B$15,2,0)))</f>
        <v>3770.7263999999996</v>
      </c>
      <c r="U4" s="57">
        <f>IF(U$3=2010,J4*(1+VLOOKUP(U$3,'Returns &amp; Bonus'!$A$5:$B$15,2,0)),(J4+T4)*(1+VLOOKUP(U$3,'Returns &amp; Bonus'!$A$5:$B$15,2,0)))</f>
        <v>5890.9007359999996</v>
      </c>
      <c r="V4" s="57">
        <f>IF(V$3=2010,K4*(1+VLOOKUP(V$3,'Returns &amp; Bonus'!$A$5:$B$15,2,0)),(K4+U4)*(1+VLOOKUP(V$3,'Returns &amp; Bonus'!$A$5:$B$15,2,0)))</f>
        <v>6802.1917286399994</v>
      </c>
      <c r="W4" s="57">
        <f>IF(W$3=2010,L4*(1+VLOOKUP(W$3,'Returns &amp; Bonus'!$A$5:$B$15,2,0)),(L4+V4)*(1+VLOOKUP(W$3,'Returns &amp; Bonus'!$A$5:$B$15,2,0)))</f>
        <v>10039.0273299456</v>
      </c>
      <c r="X4" s="57">
        <f>IF(X$3=2010,M4*(1+VLOOKUP(X$3,'Returns &amp; Bonus'!$A$5:$B$15,2,0)),(M4+W4)*(1+VLOOKUP(X$3,'Returns &amp; Bonus'!$A$5:$B$15,2,0)))</f>
        <v>10798.646783346689</v>
      </c>
      <c r="Y4" s="57">
        <f>IF(Y$3=2010,N4*(1+VLOOKUP(Y$3,'Returns &amp; Bonus'!$A$5:$B$15,2,0)),(N4+X4)*(1+VLOOKUP(Y$3,'Returns &amp; Bonus'!$A$5:$B$15,2,0)))</f>
        <v>11189.714444179353</v>
      </c>
      <c r="Z4" s="57">
        <f>IF(Z$3=2010,O4*(1+VLOOKUP(Z$3,'Returns &amp; Bonus'!$A$5:$B$15,2,0)),(O4+Y4)*(1+VLOOKUP(Z$3,'Returns &amp; Bonus'!$A$5:$B$15,2,0)))</f>
        <v>13751.777321922667</v>
      </c>
      <c r="AA4" s="57">
        <f>IF(AA$3=2010,P4*(1+VLOOKUP(AA$3,'Returns &amp; Bonus'!$A$5:$B$15,2,0)),(P4+Z4)*(1+VLOOKUP(AA$3,'Returns &amp; Bonus'!$A$5:$B$15,2,0)))</f>
        <v>16352.272827334162</v>
      </c>
      <c r="AB4" s="81">
        <f>IF(AB$3=2010,Q4*(1+VLOOKUP(AB$3,'Returns &amp; Bonus'!$A$5:$B$15,2,0)),(Q4+AA4)*(1+VLOOKUP(AB$3,'Returns &amp; Bonus'!$A$5:$B$15,2,0)))</f>
        <v>16985.627370787479</v>
      </c>
      <c r="AC4" s="85"/>
      <c r="AD4" s="58">
        <f t="shared" ref="AD4:AD35" si="2">AB4-E4</f>
        <v>15215.379870787479</v>
      </c>
      <c r="AE4" s="58">
        <f t="shared" ref="AE4:AE35" si="3">IF(F4="N",IF(AD4&lt;&gt;0,"ERROR",0),0)</f>
        <v>0</v>
      </c>
      <c r="AF4" s="58">
        <f>IF(AE4&lt;&gt;0,AB4,E4)</f>
        <v>1770.2474999999997</v>
      </c>
      <c r="AG4" s="58">
        <f>IF(AE4=0,AD4,0)</f>
        <v>15215.379870787479</v>
      </c>
      <c r="AH4" s="55">
        <f>IF(VLOOKUP(A4,'Data &amp; Formulae'!$A$11:$F$91,6,0)="Y",BonusFundProp*AF4*VLOOKUP(YEAR(B4),'Returns &amp; Bonus'!$G$4:$I$15,3,0),0)</f>
        <v>407.15692499999994</v>
      </c>
      <c r="AI4" s="55">
        <f>IF(VLOOKUP(A4,'Data &amp; Formulae'!$A$11:$F$91,6,0)="Y",ClaimFundProp*AF4+AH4,0)</f>
        <v>1823.3549249999999</v>
      </c>
      <c r="AJ4" s="55">
        <f t="shared" ref="AJ4:AJ35" si="4">IF((AI4+AG4)&gt;C4*D4*BaseLimit,MAX((C4*D4*BaseLimit-AG4),0),AI4)</f>
        <v>1823.3549249999999</v>
      </c>
      <c r="AK4" s="55">
        <f>MIN(0,(AF4-AJ4))</f>
        <v>-53.107425000000148</v>
      </c>
      <c r="AL4" s="59">
        <f>ProfitExclOption+SUM(AK4:AK103)</f>
        <v>5104.7444168669972</v>
      </c>
      <c r="AM4" s="71">
        <f t="shared" ref="AM4:AM35" si="5">IF((AI4+AG4)&gt;C4*D4*Scen1Limit,MAX((C4*D4*Scen1Limit-AG4),0),AI4)</f>
        <v>660.62012921252062</v>
      </c>
      <c r="AN4" s="55">
        <f>MIN(0,(AF4-AM4))</f>
        <v>0</v>
      </c>
      <c r="AO4" s="59">
        <f>ProfitExclOption+SUM(AN4:AN103)</f>
        <v>9517.7728030322814</v>
      </c>
      <c r="AP4" s="71">
        <f>IF(VLOOKUP(A4,'Data &amp; Formulae'!$A$11:$F$91,6,0)="Y",Scen2Bonus*AF4,0)</f>
        <v>371.7519749999999</v>
      </c>
      <c r="AQ4" s="55">
        <f>IF(VLOOKUP(A4,'Data &amp; Formulae'!$A$11:$F$91,6,0)="Y",ClaimFundProp*AF4+AP4,0)</f>
        <v>1787.9499749999998</v>
      </c>
      <c r="AR4" s="55">
        <f t="shared" ref="AR4:AR35" si="6">IF((AQ4+AG4)&gt;C4*D4*BaseLimit,MAX((C4*D4*BaseLimit-AG4),0),AQ4)</f>
        <v>1787.9499749999998</v>
      </c>
      <c r="AS4" s="55">
        <f>MIN(0,(AF4-AR4))</f>
        <v>-17.702475000000049</v>
      </c>
      <c r="AT4" s="59">
        <f>ProfitExclOption+SUM(AS4:AS103)</f>
        <v>17047.849605367162</v>
      </c>
      <c r="AU4" s="71">
        <f>IF(VLOOKUP(A4,'Data &amp; Formulae'!$A$11:$F$91,6,0)="Y",SurrPay*AF4,0)</f>
        <v>44.256187499999996</v>
      </c>
      <c r="AV4" s="59">
        <f>ProfitExclOption-SUM(AU4:AU83)</f>
        <v>5057.2102634180192</v>
      </c>
      <c r="AX4" s="4" t="b">
        <f t="shared" ref="AX4:AX35" si="7">SUM(G4:Q4)=C4*(YEAR(ValDate)-YEAR(B4)+1)</f>
        <v>1</v>
      </c>
      <c r="AY4" s="90">
        <f>(S4/(R4+H4)-1)-VLOOKUP(AY$3,'Returns &amp; Bonus'!$A$5:$B$15,2,0)</f>
        <v>1.1102230246251565E-16</v>
      </c>
      <c r="AZ4" s="89">
        <f>(T4/(S4+I4)-1)-VLOOKUP(AZ$3,'Returns &amp; Bonus'!$A$5:$B$15,2,0)</f>
        <v>0</v>
      </c>
      <c r="BA4" s="89">
        <f>(U4/(T4+J4)-1)-VLOOKUP(BA$3,'Returns &amp; Bonus'!$A$5:$B$15,2,0)</f>
        <v>0</v>
      </c>
      <c r="BB4" s="89">
        <f>(V4/(U4+K4)-1)-VLOOKUP(BB$3,'Returns &amp; Bonus'!$A$5:$B$15,2,0)</f>
        <v>0</v>
      </c>
      <c r="BC4" s="89">
        <f>(W4/(V4+L4)-1)-VLOOKUP(BC$3,'Returns &amp; Bonus'!$A$5:$B$15,2,0)</f>
        <v>0</v>
      </c>
      <c r="BD4" s="89">
        <f>(X4/(W4+M4)-1)-VLOOKUP(BD$3,'Returns &amp; Bonus'!$A$5:$B$15,2,0)</f>
        <v>0</v>
      </c>
      <c r="BE4" s="89">
        <f>(Y4/(X4+N4)-1)-VLOOKUP(BE$3,'Returns &amp; Bonus'!$A$5:$B$15,2,0)</f>
        <v>0</v>
      </c>
      <c r="BF4" s="89">
        <f>(Z4/(Y4+O4)-1)-VLOOKUP(BF$3,'Returns &amp; Bonus'!$A$5:$B$15,2,0)</f>
        <v>0</v>
      </c>
      <c r="BG4" s="89">
        <f>(AA4/(Z4+P4)-1)-VLOOKUP(BG$3,'Returns &amp; Bonus'!$A$5:$B$15,2,0)</f>
        <v>0</v>
      </c>
      <c r="BH4" s="89">
        <f>(AB4/(AA4+Q4)-1)-VLOOKUP(BH$3,'Returns &amp; Bonus'!$A$5:$B$15,2,0)</f>
        <v>-1.2836953722228372E-16</v>
      </c>
      <c r="BI4" s="89"/>
      <c r="BJ4" s="89"/>
      <c r="BK4" s="89"/>
      <c r="BL4" s="89"/>
      <c r="BM4" s="89"/>
    </row>
    <row r="5" spans="1:65" x14ac:dyDescent="0.25">
      <c r="A5" s="77">
        <f>'Amended Data'!A5</f>
        <v>2</v>
      </c>
      <c r="B5" s="75">
        <f>'Amended Data'!K5</f>
        <v>40179</v>
      </c>
      <c r="C5" s="55">
        <f>'Amended Data'!J5</f>
        <v>1494</v>
      </c>
      <c r="D5" s="56">
        <f>'Amended Data'!L5</f>
        <v>12</v>
      </c>
      <c r="E5" s="57">
        <f>'Amended Data'!M5</f>
        <v>1788.6224999999997</v>
      </c>
      <c r="F5" s="57" t="str">
        <f>'Data &amp; Formulae'!H13</f>
        <v>Y</v>
      </c>
      <c r="G5" s="57">
        <f t="shared" ref="G5:Q20" si="8">IF(YEAR($B5)&lt;=G$3,$C5,0)</f>
        <v>1494</v>
      </c>
      <c r="H5" s="57">
        <f t="shared" si="1"/>
        <v>1494</v>
      </c>
      <c r="I5" s="57">
        <f t="shared" si="1"/>
        <v>1494</v>
      </c>
      <c r="J5" s="57">
        <f t="shared" si="1"/>
        <v>1494</v>
      </c>
      <c r="K5" s="57">
        <f t="shared" si="1"/>
        <v>1494</v>
      </c>
      <c r="L5" s="57">
        <f t="shared" si="1"/>
        <v>1494</v>
      </c>
      <c r="M5" s="57">
        <f t="shared" si="1"/>
        <v>1494</v>
      </c>
      <c r="N5" s="57">
        <f t="shared" si="1"/>
        <v>1494</v>
      </c>
      <c r="O5" s="57">
        <f t="shared" si="1"/>
        <v>1494</v>
      </c>
      <c r="P5" s="57">
        <f t="shared" si="1"/>
        <v>1494</v>
      </c>
      <c r="Q5" s="57">
        <f t="shared" si="1"/>
        <v>1494</v>
      </c>
      <c r="R5" s="57">
        <f>IF(R$3=2010,G5*(1+VLOOKUP(R$3,'Returns &amp; Bonus'!$A$5:$B$15,2,0)),(G5+Q5)*(1+VLOOKUP(R$3,'Returns &amp; Bonus'!$A$5:$B$15,2,0)))</f>
        <v>1449.18</v>
      </c>
      <c r="S5" s="57">
        <f>IF(S$3=2010,H5*(1+VLOOKUP(S$3,'Returns &amp; Bonus'!$A$5:$B$15,2,0)),(H5+R5)*(1+VLOOKUP(S$3,'Returns &amp; Bonus'!$A$5:$B$15,2,0)))</f>
        <v>3296.3616000000006</v>
      </c>
      <c r="T5" s="57">
        <f>IF(T$3=2010,I5*(1+VLOOKUP(T$3,'Returns &amp; Bonus'!$A$5:$B$15,2,0)),(I5+S5)*(1+VLOOKUP(T$3,'Returns &amp; Bonus'!$A$5:$B$15,2,0)))</f>
        <v>5748.4339200000004</v>
      </c>
      <c r="U5" s="57">
        <f>IF(U$3=2010,J5*(1+VLOOKUP(U$3,'Returns &amp; Bonus'!$A$5:$B$15,2,0)),(J5+T5)*(1+VLOOKUP(U$3,'Returns &amp; Bonus'!$A$5:$B$15,2,0)))</f>
        <v>8980.6180608000013</v>
      </c>
      <c r="V5" s="57">
        <f>IF(V$3=2010,K5*(1+VLOOKUP(V$3,'Returns &amp; Bonus'!$A$5:$B$15,2,0)),(K5+U5)*(1+VLOOKUP(V$3,'Returns &amp; Bonus'!$A$5:$B$15,2,0)))</f>
        <v>10369.871880192</v>
      </c>
      <c r="W5" s="57">
        <f>IF(W$3=2010,L5*(1+VLOOKUP(W$3,'Returns &amp; Bonus'!$A$5:$B$15,2,0)),(L5+V5)*(1+VLOOKUP(W$3,'Returns &amp; Bonus'!$A$5:$B$15,2,0)))</f>
        <v>15304.394725447681</v>
      </c>
      <c r="X5" s="57">
        <f>IF(X$3=2010,M5*(1+VLOOKUP(X$3,'Returns &amp; Bonus'!$A$5:$B$15,2,0)),(M5+W5)*(1+VLOOKUP(X$3,'Returns &amp; Bonus'!$A$5:$B$15,2,0)))</f>
        <v>16462.426830938726</v>
      </c>
      <c r="Y5" s="57">
        <f>IF(Y$3=2010,N5*(1+VLOOKUP(Y$3,'Returns &amp; Bonus'!$A$5:$B$15,2,0)),(N5+X5)*(1+VLOOKUP(Y$3,'Returns &amp; Bonus'!$A$5:$B$15,2,0)))</f>
        <v>17058.60548939179</v>
      </c>
      <c r="Z5" s="57">
        <f>IF(Z$3=2010,O5*(1+VLOOKUP(Z$3,'Returns &amp; Bonus'!$A$5:$B$15,2,0)),(O5+Y5)*(1+VLOOKUP(Z$3,'Returns &amp; Bonus'!$A$5:$B$15,2,0)))</f>
        <v>20964.444203012721</v>
      </c>
      <c r="AA5" s="57">
        <f>IF(AA$3=2010,P5*(1+VLOOKUP(AA$3,'Returns &amp; Bonus'!$A$5:$B$15,2,0)),(P5+Z5)*(1+VLOOKUP(AA$3,'Returns &amp; Bonus'!$A$5:$B$15,2,0)))</f>
        <v>24928.873065344123</v>
      </c>
      <c r="AB5" s="81">
        <f>IF(AB$3=2010,Q5*(1+VLOOKUP(AB$3,'Returns &amp; Bonus'!$A$5:$B$15,2,0)),(Q5+AA5)*(1+VLOOKUP(AB$3,'Returns &amp; Bonus'!$A$5:$B$15,2,0)))</f>
        <v>25894.41560403724</v>
      </c>
      <c r="AC5" s="85"/>
      <c r="AD5" s="58">
        <f t="shared" si="2"/>
        <v>24105.793104037239</v>
      </c>
      <c r="AE5" s="58">
        <f t="shared" si="3"/>
        <v>0</v>
      </c>
      <c r="AF5" s="58">
        <f t="shared" ref="AF5:AF68" si="9">IF(AE5&lt;&gt;0,AB5,E5)</f>
        <v>1788.6224999999997</v>
      </c>
      <c r="AG5" s="58">
        <f t="shared" ref="AG5:AG68" si="10">IF(AE5=0,AD5,0)</f>
        <v>24105.793104037239</v>
      </c>
      <c r="AH5" s="55">
        <f>IF(VLOOKUP(A5,'Data &amp; Formulae'!$A$11:$F$91,6,0)="Y",BonusFundProp*AF5*VLOOKUP(YEAR(B5),'Returns &amp; Bonus'!$G$4:$I$15,3,0),0)</f>
        <v>0</v>
      </c>
      <c r="AI5" s="55">
        <f>IF(VLOOKUP(A5,'Data &amp; Formulae'!$A$11:$F$91,6,0)="Y",ClaimFundProp*AF5+AH5,0)</f>
        <v>0</v>
      </c>
      <c r="AJ5" s="55">
        <f t="shared" si="4"/>
        <v>0</v>
      </c>
      <c r="AK5" s="55">
        <f t="shared" ref="AK5:AK68" si="11">MIN(0,(AF5-AJ5))</f>
        <v>0</v>
      </c>
      <c r="AL5" s="60"/>
      <c r="AM5" s="71">
        <f t="shared" si="5"/>
        <v>0</v>
      </c>
      <c r="AN5" s="55">
        <f t="shared" ref="AN5:AN68" si="12">MIN(0,(AF5-AM5))</f>
        <v>0</v>
      </c>
      <c r="AO5" s="60"/>
      <c r="AP5" s="71">
        <f>IF(VLOOKUP(A5,'Data &amp; Formulae'!$A$11:$F$91,6,0)="Y",Scen2Bonus*AF5,0)</f>
        <v>0</v>
      </c>
      <c r="AQ5" s="55">
        <f>IF(VLOOKUP(A5,'Data &amp; Formulae'!$A$11:$F$91,6,0)="Y",ClaimFundProp*AF5+AP5,0)</f>
        <v>0</v>
      </c>
      <c r="AR5" s="55">
        <f t="shared" si="6"/>
        <v>0</v>
      </c>
      <c r="AS5" s="55">
        <f t="shared" ref="AS5:AS68" si="13">MIN(0,(AF5-AR5))</f>
        <v>0</v>
      </c>
      <c r="AT5" s="60"/>
      <c r="AU5" s="71">
        <f>IF(VLOOKUP(A5,'Data &amp; Formulae'!$A$11:$F$91,6,0)="Y",SurrPay*AF5,0)</f>
        <v>0</v>
      </c>
      <c r="AV5" s="73"/>
      <c r="AX5" s="4" t="b">
        <f t="shared" si="7"/>
        <v>1</v>
      </c>
      <c r="AY5" s="89">
        <f>(S5/(R5+H5)-1)-VLOOKUP(AY$3,'Returns &amp; Bonus'!$A$5:$B$15,2,0)</f>
        <v>1.1102230246251565E-16</v>
      </c>
      <c r="AZ5" s="89">
        <f>(T5/(S5+I5)-1)-VLOOKUP(AZ$3,'Returns &amp; Bonus'!$A$5:$B$15,2,0)</f>
        <v>0</v>
      </c>
      <c r="BA5" s="89">
        <f>(U5/(T5+J5)-1)-VLOOKUP(BA$3,'Returns &amp; Bonus'!$A$5:$B$15,2,0)</f>
        <v>2.2204460492503131E-16</v>
      </c>
      <c r="BB5" s="89">
        <f>(V5/(U5+K5)-1)-VLOOKUP(BB$3,'Returns &amp; Bonus'!$A$5:$B$15,2,0)</f>
        <v>-1.1969591984239969E-16</v>
      </c>
      <c r="BC5" s="89">
        <f>(W5/(V5+L5)-1)-VLOOKUP(BC$3,'Returns &amp; Bonus'!$A$5:$B$15,2,0)</f>
        <v>0</v>
      </c>
      <c r="BD5" s="89">
        <f>(X5/(W5+M5)-1)-VLOOKUP(BD$3,'Returns &amp; Bonus'!$A$5:$B$15,2,0)</f>
        <v>0</v>
      </c>
      <c r="BE5" s="89">
        <f>(Y5/(X5+N5)-1)-VLOOKUP(BE$3,'Returns &amp; Bonus'!$A$5:$B$15,2,0)</f>
        <v>0</v>
      </c>
      <c r="BF5" s="89">
        <f>(Z5/(Y5+O5)-1)-VLOOKUP(BF$3,'Returns &amp; Bonus'!$A$5:$B$15,2,0)</f>
        <v>0</v>
      </c>
      <c r="BG5" s="89">
        <f>(AA5/(Z5+P5)-1)-VLOOKUP(BG$3,'Returns &amp; Bonus'!$A$5:$B$15,2,0)</f>
        <v>0</v>
      </c>
      <c r="BH5" s="89">
        <f>(AB5/(AA5+Q5)-1)-VLOOKUP(BH$3,'Returns &amp; Bonus'!$A$5:$B$15,2,0)</f>
        <v>0</v>
      </c>
    </row>
    <row r="6" spans="1:65" x14ac:dyDescent="0.25">
      <c r="A6" s="77">
        <f>'Amended Data'!A6</f>
        <v>3</v>
      </c>
      <c r="B6" s="75">
        <f>'Amended Data'!K6</f>
        <v>40179</v>
      </c>
      <c r="C6" s="55">
        <f>'Amended Data'!J6</f>
        <v>4205</v>
      </c>
      <c r="D6" s="56">
        <f>'Amended Data'!L6</f>
        <v>27</v>
      </c>
      <c r="E6" s="57">
        <f>'Amended Data'!M6</f>
        <v>13593.457499999999</v>
      </c>
      <c r="F6" s="57" t="str">
        <f>'Data &amp; Formulae'!H14</f>
        <v>Y</v>
      </c>
      <c r="G6" s="57">
        <f t="shared" si="8"/>
        <v>4205</v>
      </c>
      <c r="H6" s="57">
        <f t="shared" si="1"/>
        <v>4205</v>
      </c>
      <c r="I6" s="57">
        <f t="shared" si="1"/>
        <v>4205</v>
      </c>
      <c r="J6" s="57">
        <f t="shared" si="1"/>
        <v>4205</v>
      </c>
      <c r="K6" s="57">
        <f t="shared" si="1"/>
        <v>4205</v>
      </c>
      <c r="L6" s="57">
        <f t="shared" si="1"/>
        <v>4205</v>
      </c>
      <c r="M6" s="57">
        <f t="shared" si="1"/>
        <v>4205</v>
      </c>
      <c r="N6" s="57">
        <f t="shared" si="1"/>
        <v>4205</v>
      </c>
      <c r="O6" s="57">
        <f t="shared" si="1"/>
        <v>4205</v>
      </c>
      <c r="P6" s="57">
        <f t="shared" si="1"/>
        <v>4205</v>
      </c>
      <c r="Q6" s="57">
        <f t="shared" si="1"/>
        <v>4205</v>
      </c>
      <c r="R6" s="57">
        <f>IF(R$3=2010,G6*(1+VLOOKUP(R$3,'Returns &amp; Bonus'!$A$5:$B$15,2,0)),(G6+Q6)*(1+VLOOKUP(R$3,'Returns &amp; Bonus'!$A$5:$B$15,2,0)))</f>
        <v>4078.85</v>
      </c>
      <c r="S6" s="57">
        <f>IF(S$3=2010,H6*(1+VLOOKUP(S$3,'Returns &amp; Bonus'!$A$5:$B$15,2,0)),(H6+R6)*(1+VLOOKUP(S$3,'Returns &amp; Bonus'!$A$5:$B$15,2,0)))</f>
        <v>9277.9120000000021</v>
      </c>
      <c r="T6" s="57">
        <f>IF(T$3=2010,I6*(1+VLOOKUP(T$3,'Returns &amp; Bonus'!$A$5:$B$15,2,0)),(I6+S6)*(1+VLOOKUP(T$3,'Returns &amp; Bonus'!$A$5:$B$15,2,0)))</f>
        <v>16179.494400000001</v>
      </c>
      <c r="U6" s="57">
        <f>IF(U$3=2010,J6*(1+VLOOKUP(U$3,'Returns &amp; Bonus'!$A$5:$B$15,2,0)),(J6+T6)*(1+VLOOKUP(U$3,'Returns &amp; Bonus'!$A$5:$B$15,2,0)))</f>
        <v>25276.773056000005</v>
      </c>
      <c r="V6" s="57">
        <f>IF(V$3=2010,K6*(1+VLOOKUP(V$3,'Returns &amp; Bonus'!$A$5:$B$15,2,0)),(K6+U6)*(1+VLOOKUP(V$3,'Returns &amp; Bonus'!$A$5:$B$15,2,0)))</f>
        <v>29186.955325440005</v>
      </c>
      <c r="W6" s="57">
        <f>IF(W$3=2010,L6*(1+VLOOKUP(W$3,'Returns &amp; Bonus'!$A$5:$B$15,2,0)),(L6+V6)*(1+VLOOKUP(W$3,'Returns &amp; Bonus'!$A$5:$B$15,2,0)))</f>
        <v>43075.622369817611</v>
      </c>
      <c r="X6" s="57">
        <f>IF(X$3=2010,M6*(1+VLOOKUP(X$3,'Returns &amp; Bonus'!$A$5:$B$15,2,0)),(M6+W6)*(1+VLOOKUP(X$3,'Returns &amp; Bonus'!$A$5:$B$15,2,0)))</f>
        <v>46335.009922421261</v>
      </c>
      <c r="Y6" s="57">
        <f>IF(Y$3=2010,N6*(1+VLOOKUP(Y$3,'Returns &amp; Bonus'!$A$5:$B$15,2,0)),(N6+X6)*(1+VLOOKUP(Y$3,'Returns &amp; Bonus'!$A$5:$B$15,2,0)))</f>
        <v>48013.009426300196</v>
      </c>
      <c r="Z6" s="57">
        <f>IF(Z$3=2010,O6*(1+VLOOKUP(Z$3,'Returns &amp; Bonus'!$A$5:$B$15,2,0)),(O6+Y6)*(1+VLOOKUP(Z$3,'Returns &amp; Bonus'!$A$5:$B$15,2,0)))</f>
        <v>59006.350651719215</v>
      </c>
      <c r="AA6" s="57">
        <f>IF(AA$3=2010,P6*(1+VLOOKUP(AA$3,'Returns &amp; Bonus'!$A$5:$B$15,2,0)),(P6+Z6)*(1+VLOOKUP(AA$3,'Returns &amp; Bonus'!$A$5:$B$15,2,0)))</f>
        <v>70164.599223408339</v>
      </c>
      <c r="AB6" s="81">
        <f>IF(AB$3=2010,Q6*(1+VLOOKUP(AB$3,'Returns &amp; Bonus'!$A$5:$B$15,2,0)),(Q6+AA6)*(1+VLOOKUP(AB$3,'Returns &amp; Bonus'!$A$5:$B$15,2,0)))</f>
        <v>72882.207238940173</v>
      </c>
      <c r="AC6" s="85"/>
      <c r="AD6" s="58">
        <f t="shared" si="2"/>
        <v>59288.749738940176</v>
      </c>
      <c r="AE6" s="58">
        <f t="shared" si="3"/>
        <v>0</v>
      </c>
      <c r="AF6" s="58">
        <f t="shared" si="9"/>
        <v>13593.457499999999</v>
      </c>
      <c r="AG6" s="58">
        <f t="shared" si="10"/>
        <v>59288.749738940176</v>
      </c>
      <c r="AH6" s="55">
        <f>IF(VLOOKUP(A6,'Data &amp; Formulae'!$A$11:$F$91,6,0)="Y",BonusFundProp*AF6*VLOOKUP(YEAR(B6),'Returns &amp; Bonus'!$G$4:$I$15,3,0),0)</f>
        <v>3126.4952249999997</v>
      </c>
      <c r="AI6" s="55">
        <f>IF(VLOOKUP(A6,'Data &amp; Formulae'!$A$11:$F$91,6,0)="Y",ClaimFundProp*AF6+AH6,0)</f>
        <v>14001.261224999998</v>
      </c>
      <c r="AJ6" s="55">
        <f t="shared" si="4"/>
        <v>14001.261224999998</v>
      </c>
      <c r="AK6" s="55">
        <f t="shared" si="11"/>
        <v>-407.80372499999976</v>
      </c>
      <c r="AL6" s="60"/>
      <c r="AM6" s="71">
        <f t="shared" si="5"/>
        <v>14001.261224999998</v>
      </c>
      <c r="AN6" s="55">
        <f t="shared" si="12"/>
        <v>-407.80372499999976</v>
      </c>
      <c r="AO6" s="60"/>
      <c r="AP6" s="71">
        <f>IF(VLOOKUP(A6,'Data &amp; Formulae'!$A$11:$F$91,6,0)="Y",Scen2Bonus*AF6,0)</f>
        <v>2854.6260749999997</v>
      </c>
      <c r="AQ6" s="55">
        <f>IF(VLOOKUP(A6,'Data &amp; Formulae'!$A$11:$F$91,6,0)="Y",ClaimFundProp*AF6+AP6,0)</f>
        <v>13729.392075</v>
      </c>
      <c r="AR6" s="55">
        <f t="shared" si="6"/>
        <v>13729.392075</v>
      </c>
      <c r="AS6" s="55">
        <f t="shared" si="13"/>
        <v>-135.93457500000113</v>
      </c>
      <c r="AT6" s="60"/>
      <c r="AU6" s="71">
        <f>IF(VLOOKUP(A6,'Data &amp; Formulae'!$A$11:$F$91,6,0)="Y",SurrPay*AF6,0)</f>
        <v>339.83643749999999</v>
      </c>
      <c r="AV6" s="73"/>
      <c r="AX6" s="4" t="b">
        <f t="shared" si="7"/>
        <v>1</v>
      </c>
      <c r="AY6" s="89">
        <f>(S6/(R6+H6)-1)-VLOOKUP(AY$3,'Returns &amp; Bonus'!$A$5:$B$15,2,0)</f>
        <v>1.1102230246251565E-16</v>
      </c>
      <c r="AZ6" s="89">
        <f>(T6/(S6+I6)-1)-VLOOKUP(AZ$3,'Returns &amp; Bonus'!$A$5:$B$15,2,0)</f>
        <v>0</v>
      </c>
      <c r="BA6" s="89">
        <f>(U6/(T6+J6)-1)-VLOOKUP(BA$3,'Returns &amp; Bonus'!$A$5:$B$15,2,0)</f>
        <v>0</v>
      </c>
      <c r="BB6" s="89">
        <f>(V6/(U6+K6)-1)-VLOOKUP(BB$3,'Returns &amp; Bonus'!$A$5:$B$15,2,0)</f>
        <v>0</v>
      </c>
      <c r="BC6" s="89">
        <f>(W6/(V6+L6)-1)-VLOOKUP(BC$3,'Returns &amp; Bonus'!$A$5:$B$15,2,0)</f>
        <v>0</v>
      </c>
      <c r="BD6" s="89">
        <f>(X6/(W6+M6)-1)-VLOOKUP(BD$3,'Returns &amp; Bonus'!$A$5:$B$15,2,0)</f>
        <v>9.3675067702747583E-17</v>
      </c>
      <c r="BE6" s="89">
        <f>(Y6/(X6+N6)-1)-VLOOKUP(BE$3,'Returns &amp; Bonus'!$A$5:$B$15,2,0)</f>
        <v>0</v>
      </c>
      <c r="BF6" s="89">
        <f>(Z6/(Y6+O6)-1)-VLOOKUP(BF$3,'Returns &amp; Bonus'!$A$5:$B$15,2,0)</f>
        <v>0</v>
      </c>
      <c r="BG6" s="89">
        <f>(AA6/(Z6+P6)-1)-VLOOKUP(BG$3,'Returns &amp; Bonus'!$A$5:$B$15,2,0)</f>
        <v>0</v>
      </c>
      <c r="BH6" s="89">
        <f>(AB6/(AA6+Q6)-1)-VLOOKUP(BH$3,'Returns &amp; Bonus'!$A$5:$B$15,2,0)</f>
        <v>0</v>
      </c>
    </row>
    <row r="7" spans="1:65" x14ac:dyDescent="0.25">
      <c r="A7" s="77">
        <f>'Amended Data'!A7</f>
        <v>4</v>
      </c>
      <c r="B7" s="75">
        <f>'Amended Data'!K7</f>
        <v>40179</v>
      </c>
      <c r="C7" s="55">
        <f>'Amended Data'!J7</f>
        <v>4336</v>
      </c>
      <c r="D7" s="56">
        <f>'Amended Data'!L7</f>
        <v>11</v>
      </c>
      <c r="E7" s="57">
        <f>'Amended Data'!M7</f>
        <v>0</v>
      </c>
      <c r="F7" s="57" t="str">
        <f>'Data &amp; Formulae'!H15</f>
        <v>Y</v>
      </c>
      <c r="G7" s="57">
        <f t="shared" si="8"/>
        <v>4336</v>
      </c>
      <c r="H7" s="57">
        <f t="shared" si="1"/>
        <v>4336</v>
      </c>
      <c r="I7" s="57">
        <f t="shared" si="1"/>
        <v>4336</v>
      </c>
      <c r="J7" s="57">
        <f t="shared" si="1"/>
        <v>4336</v>
      </c>
      <c r="K7" s="57">
        <f t="shared" si="1"/>
        <v>4336</v>
      </c>
      <c r="L7" s="57">
        <f t="shared" si="1"/>
        <v>4336</v>
      </c>
      <c r="M7" s="57">
        <f t="shared" si="1"/>
        <v>4336</v>
      </c>
      <c r="N7" s="57">
        <f t="shared" si="1"/>
        <v>4336</v>
      </c>
      <c r="O7" s="57">
        <f t="shared" si="1"/>
        <v>4336</v>
      </c>
      <c r="P7" s="57">
        <f t="shared" si="1"/>
        <v>4336</v>
      </c>
      <c r="Q7" s="57">
        <f t="shared" si="1"/>
        <v>4336</v>
      </c>
      <c r="R7" s="57">
        <f>IF(R$3=2010,G7*(1+VLOOKUP(R$3,'Returns &amp; Bonus'!$A$5:$B$15,2,0)),(G7+Q7)*(1+VLOOKUP(R$3,'Returns &amp; Bonus'!$A$5:$B$15,2,0)))</f>
        <v>4205.92</v>
      </c>
      <c r="S7" s="57">
        <f>IF(S$3=2010,H7*(1+VLOOKUP(S$3,'Returns &amp; Bonus'!$A$5:$B$15,2,0)),(H7+R7)*(1+VLOOKUP(S$3,'Returns &amp; Bonus'!$A$5:$B$15,2,0)))</f>
        <v>9566.9504000000015</v>
      </c>
      <c r="T7" s="57">
        <f>IF(T$3=2010,I7*(1+VLOOKUP(T$3,'Returns &amp; Bonus'!$A$5:$B$15,2,0)),(I7+S7)*(1+VLOOKUP(T$3,'Returns &amp; Bonus'!$A$5:$B$15,2,0)))</f>
        <v>16683.54048</v>
      </c>
      <c r="U7" s="57">
        <f>IF(U$3=2010,J7*(1+VLOOKUP(U$3,'Returns &amp; Bonus'!$A$5:$B$15,2,0)),(J7+T7)*(1+VLOOKUP(U$3,'Returns &amp; Bonus'!$A$5:$B$15,2,0)))</f>
        <v>26064.230195199998</v>
      </c>
      <c r="V7" s="57">
        <f>IF(V$3=2010,K7*(1+VLOOKUP(V$3,'Returns &amp; Bonus'!$A$5:$B$15,2,0)),(K7+U7)*(1+VLOOKUP(V$3,'Returns &amp; Bonus'!$A$5:$B$15,2,0)))</f>
        <v>30096.227893247997</v>
      </c>
      <c r="W7" s="57">
        <f>IF(W$3=2010,L7*(1+VLOOKUP(W$3,'Returns &amp; Bonus'!$A$5:$B$15,2,0)),(L7+V7)*(1+VLOOKUP(W$3,'Returns &amp; Bonus'!$A$5:$B$15,2,0)))</f>
        <v>44417.57398228992</v>
      </c>
      <c r="X7" s="57">
        <f>IF(X$3=2010,M7*(1+VLOOKUP(X$3,'Returns &amp; Bonus'!$A$5:$B$15,2,0)),(M7+W7)*(1+VLOOKUP(X$3,'Returns &amp; Bonus'!$A$5:$B$15,2,0)))</f>
        <v>47778.502502644122</v>
      </c>
      <c r="Y7" s="57">
        <f>IF(Y$3=2010,N7*(1+VLOOKUP(Y$3,'Returns &amp; Bonus'!$A$5:$B$15,2,0)),(N7+X7)*(1+VLOOKUP(Y$3,'Returns &amp; Bonus'!$A$5:$B$15,2,0)))</f>
        <v>49508.777377511913</v>
      </c>
      <c r="Z7" s="57">
        <f>IF(Z$3=2010,O7*(1+VLOOKUP(Z$3,'Returns &amp; Bonus'!$A$5:$B$15,2,0)),(O7+Y7)*(1+VLOOKUP(Z$3,'Returns &amp; Bonus'!$A$5:$B$15,2,0)))</f>
        <v>60844.598436588458</v>
      </c>
      <c r="AA7" s="57">
        <f>IF(AA$3=2010,P7*(1+VLOOKUP(AA$3,'Returns &amp; Bonus'!$A$5:$B$15,2,0)),(P7+Z7)*(1+VLOOKUP(AA$3,'Returns &amp; Bonus'!$A$5:$B$15,2,0)))</f>
        <v>72350.464264613198</v>
      </c>
      <c r="AB7" s="81">
        <f>IF(AB$3=2010,Q7*(1+VLOOKUP(AB$3,'Returns &amp; Bonus'!$A$5:$B$15,2,0)),(Q7+AA7)*(1+VLOOKUP(AB$3,'Returns &amp; Bonus'!$A$5:$B$15,2,0)))</f>
        <v>75152.734979320929</v>
      </c>
      <c r="AC7" s="85"/>
      <c r="AD7" s="58">
        <f t="shared" si="2"/>
        <v>75152.734979320929</v>
      </c>
      <c r="AE7" s="58">
        <f t="shared" si="3"/>
        <v>0</v>
      </c>
      <c r="AF7" s="58">
        <f t="shared" si="9"/>
        <v>0</v>
      </c>
      <c r="AG7" s="58">
        <f t="shared" si="10"/>
        <v>75152.734979320929</v>
      </c>
      <c r="AH7" s="55">
        <f>IF(VLOOKUP(A7,'Data &amp; Formulae'!$A$11:$F$91,6,0)="Y",BonusFundProp*AF7*VLOOKUP(YEAR(B7),'Returns &amp; Bonus'!$G$4:$I$15,3,0),0)</f>
        <v>0</v>
      </c>
      <c r="AI7" s="55">
        <f>IF(VLOOKUP(A7,'Data &amp; Formulae'!$A$11:$F$91,6,0)="Y",ClaimFundProp*AF7+AH7,0)</f>
        <v>0</v>
      </c>
      <c r="AJ7" s="55">
        <f t="shared" si="4"/>
        <v>0</v>
      </c>
      <c r="AK7" s="55">
        <f t="shared" si="11"/>
        <v>0</v>
      </c>
      <c r="AL7" s="60"/>
      <c r="AM7" s="71">
        <f t="shared" si="5"/>
        <v>0</v>
      </c>
      <c r="AN7" s="55">
        <f t="shared" si="12"/>
        <v>0</v>
      </c>
      <c r="AO7" s="60"/>
      <c r="AP7" s="71">
        <f>IF(VLOOKUP(A7,'Data &amp; Formulae'!$A$11:$F$91,6,0)="Y",Scen2Bonus*AF7,0)</f>
        <v>0</v>
      </c>
      <c r="AQ7" s="55">
        <f>IF(VLOOKUP(A7,'Data &amp; Formulae'!$A$11:$F$91,6,0)="Y",ClaimFundProp*AF7+AP7,0)</f>
        <v>0</v>
      </c>
      <c r="AR7" s="55">
        <f t="shared" si="6"/>
        <v>0</v>
      </c>
      <c r="AS7" s="55">
        <f t="shared" si="13"/>
        <v>0</v>
      </c>
      <c r="AT7" s="60"/>
      <c r="AU7" s="71">
        <f>IF(VLOOKUP(A7,'Data &amp; Formulae'!$A$11:$F$91,6,0)="Y",SurrPay*AF7,0)</f>
        <v>0</v>
      </c>
      <c r="AV7" s="73"/>
      <c r="AX7" s="4" t="b">
        <f t="shared" si="7"/>
        <v>1</v>
      </c>
      <c r="AY7" s="89">
        <f>(S7/(R7+H7)-1)-VLOOKUP(AY$3,'Returns &amp; Bonus'!$A$5:$B$15,2,0)</f>
        <v>1.1102230246251565E-16</v>
      </c>
      <c r="AZ7" s="89">
        <f>(T7/(S7+I7)-1)-VLOOKUP(AZ$3,'Returns &amp; Bonus'!$A$5:$B$15,2,0)</f>
        <v>-2.7755575615628914E-16</v>
      </c>
      <c r="BA7" s="89">
        <f>(U7/(T7+J7)-1)-VLOOKUP(BA$3,'Returns &amp; Bonus'!$A$5:$B$15,2,0)</f>
        <v>0</v>
      </c>
      <c r="BB7" s="89">
        <f>(V7/(U7+K7)-1)-VLOOKUP(BB$3,'Returns &amp; Bonus'!$A$5:$B$15,2,0)</f>
        <v>0</v>
      </c>
      <c r="BC7" s="89">
        <f>(W7/(V7+L7)-1)-VLOOKUP(BC$3,'Returns &amp; Bonus'!$A$5:$B$15,2,0)</f>
        <v>0</v>
      </c>
      <c r="BD7" s="89">
        <f>(X7/(W7+M7)-1)-VLOOKUP(BD$3,'Returns &amp; Bonus'!$A$5:$B$15,2,0)</f>
        <v>0</v>
      </c>
      <c r="BE7" s="89">
        <f>(Y7/(X7+N7)-1)-VLOOKUP(BE$3,'Returns &amp; Bonus'!$A$5:$B$15,2,0)</f>
        <v>0</v>
      </c>
      <c r="BF7" s="89">
        <f>(Z7/(Y7+O7)-1)-VLOOKUP(BF$3,'Returns &amp; Bonus'!$A$5:$B$15,2,0)</f>
        <v>0</v>
      </c>
      <c r="BG7" s="89">
        <f>(AA7/(Z7+P7)-1)-VLOOKUP(BG$3,'Returns &amp; Bonus'!$A$5:$B$15,2,0)</f>
        <v>0</v>
      </c>
      <c r="BH7" s="89">
        <f>(AB7/(AA7+Q7)-1)-VLOOKUP(BH$3,'Returns &amp; Bonus'!$A$5:$B$15,2,0)</f>
        <v>0</v>
      </c>
    </row>
    <row r="8" spans="1:65" x14ac:dyDescent="0.25">
      <c r="A8" s="77">
        <f>'Amended Data'!A8</f>
        <v>5</v>
      </c>
      <c r="B8" s="75">
        <f>'Amended Data'!K8</f>
        <v>40179</v>
      </c>
      <c r="C8" s="55">
        <f>'Amended Data'!J8</f>
        <v>3522</v>
      </c>
      <c r="D8" s="56">
        <f>'Amended Data'!L8</f>
        <v>17</v>
      </c>
      <c r="E8" s="57">
        <f>'Amended Data'!M8</f>
        <v>61044.264897870926</v>
      </c>
      <c r="F8" s="57" t="str">
        <f>'Data &amp; Formulae'!H16</f>
        <v>N</v>
      </c>
      <c r="G8" s="57">
        <f t="shared" si="8"/>
        <v>3522</v>
      </c>
      <c r="H8" s="57">
        <f t="shared" si="1"/>
        <v>3522</v>
      </c>
      <c r="I8" s="57">
        <f t="shared" si="1"/>
        <v>3522</v>
      </c>
      <c r="J8" s="57">
        <f t="shared" si="1"/>
        <v>3522</v>
      </c>
      <c r="K8" s="57">
        <f t="shared" si="1"/>
        <v>3522</v>
      </c>
      <c r="L8" s="57">
        <f t="shared" si="1"/>
        <v>3522</v>
      </c>
      <c r="M8" s="57">
        <f t="shared" si="1"/>
        <v>3522</v>
      </c>
      <c r="N8" s="57">
        <f t="shared" si="1"/>
        <v>3522</v>
      </c>
      <c r="O8" s="57">
        <f t="shared" si="1"/>
        <v>3522</v>
      </c>
      <c r="P8" s="57">
        <f t="shared" si="1"/>
        <v>3522</v>
      </c>
      <c r="Q8" s="57">
        <f t="shared" si="1"/>
        <v>3522</v>
      </c>
      <c r="R8" s="57">
        <f>IF(R$3=2010,G8*(1+VLOOKUP(R$3,'Returns &amp; Bonus'!$A$5:$B$15,2,0)),(G8+Q8)*(1+VLOOKUP(R$3,'Returns &amp; Bonus'!$A$5:$B$15,2,0)))</f>
        <v>3416.3399999999997</v>
      </c>
      <c r="S8" s="57">
        <f>IF(S$3=2010,H8*(1+VLOOKUP(S$3,'Returns &amp; Bonus'!$A$5:$B$15,2,0)),(H8+R8)*(1+VLOOKUP(S$3,'Returns &amp; Bonus'!$A$5:$B$15,2,0)))</f>
        <v>7770.9408000000012</v>
      </c>
      <c r="T8" s="57">
        <f>IF(T$3=2010,I8*(1+VLOOKUP(T$3,'Returns &amp; Bonus'!$A$5:$B$15,2,0)),(I8+S8)*(1+VLOOKUP(T$3,'Returns &amp; Bonus'!$A$5:$B$15,2,0)))</f>
        <v>13551.52896</v>
      </c>
      <c r="U8" s="57">
        <f>IF(U$3=2010,J8*(1+VLOOKUP(U$3,'Returns &amp; Bonus'!$A$5:$B$15,2,0)),(J8+T8)*(1+VLOOKUP(U$3,'Returns &amp; Bonus'!$A$5:$B$15,2,0)))</f>
        <v>21171.175910400001</v>
      </c>
      <c r="V8" s="57">
        <f>IF(V$3=2010,K8*(1+VLOOKUP(V$3,'Returns &amp; Bonus'!$A$5:$B$15,2,0)),(K8+U8)*(1+VLOOKUP(V$3,'Returns &amp; Bonus'!$A$5:$B$15,2,0)))</f>
        <v>24446.244151295999</v>
      </c>
      <c r="W8" s="57">
        <f>IF(W$3=2010,L8*(1+VLOOKUP(W$3,'Returns &amp; Bonus'!$A$5:$B$15,2,0)),(L8+V8)*(1+VLOOKUP(W$3,'Returns &amp; Bonus'!$A$5:$B$15,2,0)))</f>
        <v>36079.034955171839</v>
      </c>
      <c r="X8" s="57">
        <f>IF(X$3=2010,M8*(1+VLOOKUP(X$3,'Returns &amp; Bonus'!$A$5:$B$15,2,0)),(M8+W8)*(1+VLOOKUP(X$3,'Returns &amp; Bonus'!$A$5:$B$15,2,0)))</f>
        <v>38809.014256068403</v>
      </c>
      <c r="Y8" s="57">
        <f>IF(Y$3=2010,N8*(1+VLOOKUP(Y$3,'Returns &amp; Bonus'!$A$5:$B$15,2,0)),(N8+X8)*(1+VLOOKUP(Y$3,'Returns &amp; Bonus'!$A$5:$B$15,2,0)))</f>
        <v>40214.463543264981</v>
      </c>
      <c r="Z8" s="57">
        <f>IF(Z$3=2010,O8*(1+VLOOKUP(Z$3,'Returns &amp; Bonus'!$A$5:$B$15,2,0)),(O8+Y8)*(1+VLOOKUP(Z$3,'Returns &amp; Bonus'!$A$5:$B$15,2,0)))</f>
        <v>49422.203803889424</v>
      </c>
      <c r="AA8" s="57">
        <f>IF(AA$3=2010,P8*(1+VLOOKUP(AA$3,'Returns &amp; Bonus'!$A$5:$B$15,2,0)),(P8+Z8)*(1+VLOOKUP(AA$3,'Returns &amp; Bonus'!$A$5:$B$15,2,0)))</f>
        <v>58768.066222317269</v>
      </c>
      <c r="AB8" s="81">
        <f>IF(AB$3=2010,Q8*(1+VLOOKUP(AB$3,'Returns &amp; Bonus'!$A$5:$B$15,2,0)),(Q8+AA8)*(1+VLOOKUP(AB$3,'Returns &amp; Bonus'!$A$5:$B$15,2,0)))</f>
        <v>61044.264897870926</v>
      </c>
      <c r="AC8" s="85"/>
      <c r="AD8" s="58">
        <f t="shared" si="2"/>
        <v>0</v>
      </c>
      <c r="AE8" s="58">
        <f t="shared" si="3"/>
        <v>0</v>
      </c>
      <c r="AF8" s="58">
        <f t="shared" si="9"/>
        <v>61044.264897870926</v>
      </c>
      <c r="AG8" s="58">
        <f t="shared" si="10"/>
        <v>0</v>
      </c>
      <c r="AH8" s="55">
        <f>IF(VLOOKUP(A8,'Data &amp; Formulae'!$A$11:$F$91,6,0)="Y",BonusFundProp*AF8*VLOOKUP(YEAR(B8),'Returns &amp; Bonus'!$G$4:$I$15,3,0),0)</f>
        <v>14040.180926510311</v>
      </c>
      <c r="AI8" s="55">
        <f>IF(VLOOKUP(A8,'Data &amp; Formulae'!$A$11:$F$91,6,0)="Y",ClaimFundProp*AF8+AH8,0)</f>
        <v>62875.592844807048</v>
      </c>
      <c r="AJ8" s="55">
        <f t="shared" si="4"/>
        <v>62875.592844807048</v>
      </c>
      <c r="AK8" s="55">
        <f t="shared" si="11"/>
        <v>-1831.3279469361223</v>
      </c>
      <c r="AL8" s="60"/>
      <c r="AM8" s="71">
        <f t="shared" si="5"/>
        <v>53886.6</v>
      </c>
      <c r="AN8" s="55">
        <f t="shared" si="12"/>
        <v>0</v>
      </c>
      <c r="AO8" s="60"/>
      <c r="AP8" s="71">
        <f>IF(VLOOKUP(A8,'Data &amp; Formulae'!$A$11:$F$91,6,0)="Y",Scen2Bonus*AF8,0)</f>
        <v>12819.295628552894</v>
      </c>
      <c r="AQ8" s="55">
        <f>IF(VLOOKUP(A8,'Data &amp; Formulae'!$A$11:$F$91,6,0)="Y",ClaimFundProp*AF8+AP8,0)</f>
        <v>61654.707546849633</v>
      </c>
      <c r="AR8" s="55">
        <f t="shared" si="6"/>
        <v>61654.707546849633</v>
      </c>
      <c r="AS8" s="55">
        <f t="shared" si="13"/>
        <v>-610.44264897870744</v>
      </c>
      <c r="AT8" s="60"/>
      <c r="AU8" s="71">
        <f>IF(VLOOKUP(A8,'Data &amp; Formulae'!$A$11:$F$91,6,0)="Y",SurrPay*AF8,0)</f>
        <v>1526.1066224467731</v>
      </c>
      <c r="AV8" s="73"/>
      <c r="AX8" s="4" t="b">
        <f t="shared" si="7"/>
        <v>1</v>
      </c>
      <c r="AY8" s="89">
        <f>(S8/(R8+H8)-1)-VLOOKUP(AY$3,'Returns &amp; Bonus'!$A$5:$B$15,2,0)</f>
        <v>1.1102230246251565E-16</v>
      </c>
      <c r="AZ8" s="89">
        <f>(T8/(S8+I8)-1)-VLOOKUP(AZ$3,'Returns &amp; Bonus'!$A$5:$B$15,2,0)</f>
        <v>0</v>
      </c>
      <c r="BA8" s="89">
        <f>(U8/(T8+J8)-1)-VLOOKUP(BA$3,'Returns &amp; Bonus'!$A$5:$B$15,2,0)</f>
        <v>0</v>
      </c>
      <c r="BB8" s="89">
        <f>(V8/(U8+K8)-1)-VLOOKUP(BB$3,'Returns &amp; Bonus'!$A$5:$B$15,2,0)</f>
        <v>-1.1969591984239969E-16</v>
      </c>
      <c r="BC8" s="89">
        <f>(W8/(V8+L8)-1)-VLOOKUP(BC$3,'Returns &amp; Bonus'!$A$5:$B$15,2,0)</f>
        <v>0</v>
      </c>
      <c r="BD8" s="89">
        <f>(X8/(W8+M8)-1)-VLOOKUP(BD$3,'Returns &amp; Bonus'!$A$5:$B$15,2,0)</f>
        <v>0</v>
      </c>
      <c r="BE8" s="89">
        <f>(Y8/(X8+N8)-1)-VLOOKUP(BE$3,'Returns &amp; Bonus'!$A$5:$B$15,2,0)</f>
        <v>0</v>
      </c>
      <c r="BF8" s="89">
        <f>(Z8/(Y8+O8)-1)-VLOOKUP(BF$3,'Returns &amp; Bonus'!$A$5:$B$15,2,0)</f>
        <v>0</v>
      </c>
      <c r="BG8" s="89">
        <f>(AA8/(Z8+P8)-1)-VLOOKUP(BG$3,'Returns &amp; Bonus'!$A$5:$B$15,2,0)</f>
        <v>0</v>
      </c>
      <c r="BH8" s="89">
        <f>(AB8/(AA8+Q8)-1)-VLOOKUP(BH$3,'Returns &amp; Bonus'!$A$5:$B$15,2,0)</f>
        <v>0</v>
      </c>
    </row>
    <row r="9" spans="1:65" x14ac:dyDescent="0.25">
      <c r="A9" s="77">
        <f>'Amended Data'!A9</f>
        <v>6</v>
      </c>
      <c r="B9" s="75">
        <f>'Amended Data'!K9</f>
        <v>40179</v>
      </c>
      <c r="C9" s="55">
        <f>'Amended Data'!J9</f>
        <v>2425</v>
      </c>
      <c r="D9" s="56">
        <f>'Amended Data'!L9</f>
        <v>10</v>
      </c>
      <c r="E9" s="57">
        <f>'Amended Data'!M9</f>
        <v>2496.5499999999997</v>
      </c>
      <c r="F9" s="57" t="str">
        <f>'Data &amp; Formulae'!H17</f>
        <v>Y</v>
      </c>
      <c r="G9" s="57">
        <f t="shared" si="8"/>
        <v>2425</v>
      </c>
      <c r="H9" s="57">
        <f t="shared" si="1"/>
        <v>2425</v>
      </c>
      <c r="I9" s="57">
        <f t="shared" si="1"/>
        <v>2425</v>
      </c>
      <c r="J9" s="57">
        <f t="shared" si="1"/>
        <v>2425</v>
      </c>
      <c r="K9" s="57">
        <f t="shared" si="1"/>
        <v>2425</v>
      </c>
      <c r="L9" s="57">
        <f t="shared" si="1"/>
        <v>2425</v>
      </c>
      <c r="M9" s="57">
        <f t="shared" si="1"/>
        <v>2425</v>
      </c>
      <c r="N9" s="57">
        <f t="shared" si="1"/>
        <v>2425</v>
      </c>
      <c r="O9" s="57">
        <f t="shared" si="1"/>
        <v>2425</v>
      </c>
      <c r="P9" s="57">
        <f t="shared" si="1"/>
        <v>2425</v>
      </c>
      <c r="Q9" s="57">
        <f t="shared" si="1"/>
        <v>2425</v>
      </c>
      <c r="R9" s="57">
        <f>IF(R$3=2010,G9*(1+VLOOKUP(R$3,'Returns &amp; Bonus'!$A$5:$B$15,2,0)),(G9+Q9)*(1+VLOOKUP(R$3,'Returns &amp; Bonus'!$A$5:$B$15,2,0)))</f>
        <v>2352.25</v>
      </c>
      <c r="S9" s="57">
        <f>IF(S$3=2010,H9*(1+VLOOKUP(S$3,'Returns &amp; Bonus'!$A$5:$B$15,2,0)),(H9+R9)*(1+VLOOKUP(S$3,'Returns &amp; Bonus'!$A$5:$B$15,2,0)))</f>
        <v>5350.52</v>
      </c>
      <c r="T9" s="57">
        <f>IF(T$3=2010,I9*(1+VLOOKUP(T$3,'Returns &amp; Bonus'!$A$5:$B$15,2,0)),(I9+S9)*(1+VLOOKUP(T$3,'Returns &amp; Bonus'!$A$5:$B$15,2,0)))</f>
        <v>9330.6239999999998</v>
      </c>
      <c r="U9" s="57">
        <f>IF(U$3=2010,J9*(1+VLOOKUP(U$3,'Returns &amp; Bonus'!$A$5:$B$15,2,0)),(J9+T9)*(1+VLOOKUP(U$3,'Returns &amp; Bonus'!$A$5:$B$15,2,0)))</f>
        <v>14576.973759999999</v>
      </c>
      <c r="V9" s="57">
        <f>IF(V$3=2010,K9*(1+VLOOKUP(V$3,'Returns &amp; Bonus'!$A$5:$B$15,2,0)),(K9+U9)*(1+VLOOKUP(V$3,'Returns &amp; Bonus'!$A$5:$B$15,2,0)))</f>
        <v>16831.954022400001</v>
      </c>
      <c r="W9" s="57">
        <f>IF(W$3=2010,L9*(1+VLOOKUP(W$3,'Returns &amp; Bonus'!$A$5:$B$15,2,0)),(L9+V9)*(1+VLOOKUP(W$3,'Returns &amp; Bonus'!$A$5:$B$15,2,0)))</f>
        <v>24841.470688896003</v>
      </c>
      <c r="X9" s="57">
        <f>IF(X$3=2010,M9*(1+VLOOKUP(X$3,'Returns &amp; Bonus'!$A$5:$B$15,2,0)),(M9+W9)*(1+VLOOKUP(X$3,'Returns &amp; Bonus'!$A$5:$B$15,2,0)))</f>
        <v>26721.141275118083</v>
      </c>
      <c r="Y9" s="57">
        <f>IF(Y$3=2010,N9*(1+VLOOKUP(Y$3,'Returns &amp; Bonus'!$A$5:$B$15,2,0)),(N9+X9)*(1+VLOOKUP(Y$3,'Returns &amp; Bonus'!$A$5:$B$15,2,0)))</f>
        <v>27688.834211362177</v>
      </c>
      <c r="Z9" s="57">
        <f>IF(Z$3=2010,O9*(1+VLOOKUP(Z$3,'Returns &amp; Bonus'!$A$5:$B$15,2,0)),(O9+Y9)*(1+VLOOKUP(Z$3,'Returns &amp; Bonus'!$A$5:$B$15,2,0)))</f>
        <v>34028.632658839255</v>
      </c>
      <c r="AA9" s="57">
        <f>IF(AA$3=2010,P9*(1+VLOOKUP(AA$3,'Returns &amp; Bonus'!$A$5:$B$15,2,0)),(P9+Z9)*(1+VLOOKUP(AA$3,'Returns &amp; Bonus'!$A$5:$B$15,2,0)))</f>
        <v>40463.532251311575</v>
      </c>
      <c r="AB9" s="81">
        <f>IF(AB$3=2010,Q9*(1+VLOOKUP(AB$3,'Returns &amp; Bonus'!$A$5:$B$15,2,0)),(Q9+AA9)*(1+VLOOKUP(AB$3,'Returns &amp; Bonus'!$A$5:$B$15,2,0)))</f>
        <v>42030.761606285341</v>
      </c>
      <c r="AC9" s="85"/>
      <c r="AD9" s="58">
        <f t="shared" si="2"/>
        <v>39534.211606285338</v>
      </c>
      <c r="AE9" s="58">
        <f t="shared" si="3"/>
        <v>0</v>
      </c>
      <c r="AF9" s="58">
        <f t="shared" si="9"/>
        <v>2496.5499999999997</v>
      </c>
      <c r="AG9" s="58">
        <f t="shared" si="10"/>
        <v>39534.211606285338</v>
      </c>
      <c r="AH9" s="55">
        <f>IF(VLOOKUP(A9,'Data &amp; Formulae'!$A$11:$F$91,6,0)="Y",BonusFundProp*AF9*VLOOKUP(YEAR(B9),'Returns &amp; Bonus'!$G$4:$I$15,3,0),0)</f>
        <v>574.20649999999989</v>
      </c>
      <c r="AI9" s="55">
        <f>IF(VLOOKUP(A9,'Data &amp; Formulae'!$A$11:$F$91,6,0)="Y",ClaimFundProp*AF9+AH9,0)</f>
        <v>2571.4464999999996</v>
      </c>
      <c r="AJ9" s="55">
        <f t="shared" si="4"/>
        <v>0</v>
      </c>
      <c r="AK9" s="55">
        <f t="shared" si="11"/>
        <v>0</v>
      </c>
      <c r="AL9" s="60"/>
      <c r="AM9" s="71">
        <f t="shared" si="5"/>
        <v>0</v>
      </c>
      <c r="AN9" s="55">
        <f t="shared" si="12"/>
        <v>0</v>
      </c>
      <c r="AO9" s="60"/>
      <c r="AP9" s="71">
        <f>IF(VLOOKUP(A9,'Data &amp; Formulae'!$A$11:$F$91,6,0)="Y",Scen2Bonus*AF9,0)</f>
        <v>524.27549999999997</v>
      </c>
      <c r="AQ9" s="55">
        <f>IF(VLOOKUP(A9,'Data &amp; Formulae'!$A$11:$F$91,6,0)="Y",ClaimFundProp*AF9+AP9,0)</f>
        <v>2521.5154999999995</v>
      </c>
      <c r="AR9" s="55">
        <f t="shared" si="6"/>
        <v>0</v>
      </c>
      <c r="AS9" s="55">
        <f t="shared" si="13"/>
        <v>0</v>
      </c>
      <c r="AT9" s="60"/>
      <c r="AU9" s="71">
        <f>IF(VLOOKUP(A9,'Data &amp; Formulae'!$A$11:$F$91,6,0)="Y",SurrPay*AF9,0)</f>
        <v>62.413749999999993</v>
      </c>
      <c r="AV9" s="73"/>
      <c r="AX9" s="4" t="b">
        <f t="shared" si="7"/>
        <v>1</v>
      </c>
      <c r="AY9" s="89">
        <f>(S9/(R9+H9)-1)-VLOOKUP(AY$3,'Returns &amp; Bonus'!$A$5:$B$15,2,0)</f>
        <v>1.1102230246251565E-16</v>
      </c>
      <c r="AZ9" s="89">
        <f>(T9/(S9+I9)-1)-VLOOKUP(AZ$3,'Returns &amp; Bonus'!$A$5:$B$15,2,0)</f>
        <v>0</v>
      </c>
      <c r="BA9" s="89">
        <f>(U9/(T9+J9)-1)-VLOOKUP(BA$3,'Returns &amp; Bonus'!$A$5:$B$15,2,0)</f>
        <v>0</v>
      </c>
      <c r="BB9" s="89">
        <f>(V9/(U9+K9)-1)-VLOOKUP(BB$3,'Returns &amp; Bonus'!$A$5:$B$15,2,0)</f>
        <v>0</v>
      </c>
      <c r="BC9" s="89">
        <f>(W9/(V9+L9)-1)-VLOOKUP(BC$3,'Returns &amp; Bonus'!$A$5:$B$15,2,0)</f>
        <v>0</v>
      </c>
      <c r="BD9" s="89">
        <f>(X9/(W9+M9)-1)-VLOOKUP(BD$3,'Returns &amp; Bonus'!$A$5:$B$15,2,0)</f>
        <v>0</v>
      </c>
      <c r="BE9" s="89">
        <f>(Y9/(X9+N9)-1)-VLOOKUP(BE$3,'Returns &amp; Bonus'!$A$5:$B$15,2,0)</f>
        <v>0</v>
      </c>
      <c r="BF9" s="89">
        <f>(Z9/(Y9+O9)-1)-VLOOKUP(BF$3,'Returns &amp; Bonus'!$A$5:$B$15,2,0)</f>
        <v>0</v>
      </c>
      <c r="BG9" s="89">
        <f>(AA9/(Z9+P9)-1)-VLOOKUP(BG$3,'Returns &amp; Bonus'!$A$5:$B$15,2,0)</f>
        <v>0</v>
      </c>
      <c r="BH9" s="89">
        <f>(AB9/(AA9+Q9)-1)-VLOOKUP(BH$3,'Returns &amp; Bonus'!$A$5:$B$15,2,0)</f>
        <v>0</v>
      </c>
    </row>
    <row r="10" spans="1:65" x14ac:dyDescent="0.25">
      <c r="A10" s="77">
        <f>'Amended Data'!A10</f>
        <v>7</v>
      </c>
      <c r="B10" s="75">
        <f>'Amended Data'!K10</f>
        <v>40544</v>
      </c>
      <c r="C10" s="55">
        <f>'Amended Data'!J10</f>
        <v>7593</v>
      </c>
      <c r="D10" s="56">
        <f>'Amended Data'!L10</f>
        <v>28</v>
      </c>
      <c r="E10" s="57">
        <f>'Amended Data'!M10</f>
        <v>1221.9375</v>
      </c>
      <c r="F10" s="57" t="str">
        <f>'Data &amp; Formulae'!H18</f>
        <v>Y</v>
      </c>
      <c r="G10" s="57">
        <f t="shared" si="8"/>
        <v>0</v>
      </c>
      <c r="H10" s="57">
        <f t="shared" si="1"/>
        <v>7593</v>
      </c>
      <c r="I10" s="57">
        <f t="shared" si="1"/>
        <v>7593</v>
      </c>
      <c r="J10" s="57">
        <f t="shared" si="1"/>
        <v>7593</v>
      </c>
      <c r="K10" s="57">
        <f t="shared" si="1"/>
        <v>7593</v>
      </c>
      <c r="L10" s="57">
        <f t="shared" si="1"/>
        <v>7593</v>
      </c>
      <c r="M10" s="57">
        <f t="shared" si="1"/>
        <v>7593</v>
      </c>
      <c r="N10" s="57">
        <f t="shared" si="1"/>
        <v>7593</v>
      </c>
      <c r="O10" s="57">
        <f t="shared" si="1"/>
        <v>7593</v>
      </c>
      <c r="P10" s="57">
        <f t="shared" si="1"/>
        <v>7593</v>
      </c>
      <c r="Q10" s="57">
        <f t="shared" si="1"/>
        <v>7593</v>
      </c>
      <c r="R10" s="57">
        <f>IF(R$3=2010,G10*(1+VLOOKUP(R$3,'Returns &amp; Bonus'!$A$5:$B$15,2,0)),(G10+Q10)*(1+VLOOKUP(R$3,'Returns &amp; Bonus'!$A$5:$B$15,2,0)))</f>
        <v>0</v>
      </c>
      <c r="S10" s="57">
        <f>IF(S$3=2010,H10*(1+VLOOKUP(S$3,'Returns &amp; Bonus'!$A$5:$B$15,2,0)),(H10+R10)*(1+VLOOKUP(S$3,'Returns &amp; Bonus'!$A$5:$B$15,2,0)))</f>
        <v>8504.1600000000017</v>
      </c>
      <c r="T10" s="57">
        <f>IF(T$3=2010,I10*(1+VLOOKUP(T$3,'Returns &amp; Bonus'!$A$5:$B$15,2,0)),(I10+S10)*(1+VLOOKUP(T$3,'Returns &amp; Bonus'!$A$5:$B$15,2,0)))</f>
        <v>19316.592000000001</v>
      </c>
      <c r="U10" s="57">
        <f>IF(U$3=2010,J10*(1+VLOOKUP(U$3,'Returns &amp; Bonus'!$A$5:$B$15,2,0)),(J10+T10)*(1+VLOOKUP(U$3,'Returns &amp; Bonus'!$A$5:$B$15,2,0)))</f>
        <v>33367.894079999998</v>
      </c>
      <c r="V10" s="57">
        <f>IF(V$3=2010,K10*(1+VLOOKUP(V$3,'Returns &amp; Bonus'!$A$5:$B$15,2,0)),(K10+U10)*(1+VLOOKUP(V$3,'Returns &amp; Bonus'!$A$5:$B$15,2,0)))</f>
        <v>40551.285139200001</v>
      </c>
      <c r="W10" s="57">
        <f>IF(W$3=2010,L10*(1+VLOOKUP(W$3,'Returns &amp; Bonus'!$A$5:$B$15,2,0)),(L10+V10)*(1+VLOOKUP(W$3,'Returns &amp; Bonus'!$A$5:$B$15,2,0)))</f>
        <v>62106.127829568002</v>
      </c>
      <c r="X10" s="57">
        <f>IF(X$3=2010,M10*(1+VLOOKUP(X$3,'Returns &amp; Bonus'!$A$5:$B$15,2,0)),(M10+W10)*(1+VLOOKUP(X$3,'Returns &amp; Bonus'!$A$5:$B$15,2,0)))</f>
        <v>68305.145272976632</v>
      </c>
      <c r="Y10" s="57">
        <f>IF(Y$3=2010,N10*(1+VLOOKUP(Y$3,'Returns &amp; Bonus'!$A$5:$B$15,2,0)),(N10+X10)*(1+VLOOKUP(Y$3,'Returns &amp; Bonus'!$A$5:$B$15,2,0)))</f>
        <v>72103.23800932779</v>
      </c>
      <c r="Z10" s="57">
        <f>IF(Z$3=2010,O10*(1+VLOOKUP(Z$3,'Returns &amp; Bonus'!$A$5:$B$15,2,0)),(O10+Y10)*(1+VLOOKUP(Z$3,'Returns &amp; Bonus'!$A$5:$B$15,2,0)))</f>
        <v>90056.748950540394</v>
      </c>
      <c r="AA10" s="57">
        <f>IF(AA$3=2010,P10*(1+VLOOKUP(AA$3,'Returns &amp; Bonus'!$A$5:$B$15,2,0)),(P10+Z10)*(1+VLOOKUP(AA$3,'Returns &amp; Bonus'!$A$5:$B$15,2,0)))</f>
        <v>108391.22133509985</v>
      </c>
      <c r="AB10" s="81">
        <f>IF(AB$3=2010,Q10*(1+VLOOKUP(AB$3,'Returns &amp; Bonus'!$A$5:$B$15,2,0)),(Q10+AA10)*(1+VLOOKUP(AB$3,'Returns &amp; Bonus'!$A$5:$B$15,2,0)))</f>
        <v>113664.53690839784</v>
      </c>
      <c r="AC10" s="85"/>
      <c r="AD10" s="58">
        <f t="shared" si="2"/>
        <v>112442.59940839784</v>
      </c>
      <c r="AE10" s="58">
        <f t="shared" si="3"/>
        <v>0</v>
      </c>
      <c r="AF10" s="58">
        <f t="shared" si="9"/>
        <v>1221.9375</v>
      </c>
      <c r="AG10" s="58">
        <f t="shared" si="10"/>
        <v>112442.59940839784</v>
      </c>
      <c r="AH10" s="55">
        <f>IF(VLOOKUP(A10,'Data &amp; Formulae'!$A$11:$F$91,6,0)="Y",BonusFundProp*AF10*VLOOKUP(YEAR(B10),'Returns &amp; Bonus'!$G$4:$I$15,3,0),0)</f>
        <v>0</v>
      </c>
      <c r="AI10" s="55">
        <f>IF(VLOOKUP(A10,'Data &amp; Formulae'!$A$11:$F$91,6,0)="Y",ClaimFundProp*AF10+AH10,0)</f>
        <v>0</v>
      </c>
      <c r="AJ10" s="55">
        <f t="shared" si="4"/>
        <v>0</v>
      </c>
      <c r="AK10" s="55">
        <f t="shared" si="11"/>
        <v>0</v>
      </c>
      <c r="AL10" s="60"/>
      <c r="AM10" s="71">
        <f t="shared" si="5"/>
        <v>0</v>
      </c>
      <c r="AN10" s="55">
        <f t="shared" si="12"/>
        <v>0</v>
      </c>
      <c r="AO10" s="60"/>
      <c r="AP10" s="71">
        <f>IF(VLOOKUP(A10,'Data &amp; Formulae'!$A$11:$F$91,6,0)="Y",Scen2Bonus*AF10,0)</f>
        <v>0</v>
      </c>
      <c r="AQ10" s="55">
        <f>IF(VLOOKUP(A10,'Data &amp; Formulae'!$A$11:$F$91,6,0)="Y",ClaimFundProp*AF10+AP10,0)</f>
        <v>0</v>
      </c>
      <c r="AR10" s="55">
        <f t="shared" si="6"/>
        <v>0</v>
      </c>
      <c r="AS10" s="55">
        <f t="shared" si="13"/>
        <v>0</v>
      </c>
      <c r="AT10" s="60"/>
      <c r="AU10" s="71">
        <f>IF(VLOOKUP(A10,'Data &amp; Formulae'!$A$11:$F$91,6,0)="Y",SurrPay*AF10,0)</f>
        <v>0</v>
      </c>
      <c r="AV10" s="73"/>
      <c r="AX10" s="4" t="b">
        <f t="shared" si="7"/>
        <v>1</v>
      </c>
      <c r="AY10" s="89">
        <f>(S10/(R10+H10)-1)-VLOOKUP(AY$3,'Returns &amp; Bonus'!$A$5:$B$15,2,0)</f>
        <v>3.3306690738754696E-16</v>
      </c>
      <c r="AZ10" s="89">
        <f>(T10/(S10+I10)-1)-VLOOKUP(AZ$3,'Returns &amp; Bonus'!$A$5:$B$15,2,0)</f>
        <v>0</v>
      </c>
      <c r="BA10" s="89">
        <f>(U10/(T10+J10)-1)-VLOOKUP(BA$3,'Returns &amp; Bonus'!$A$5:$B$15,2,0)</f>
        <v>0</v>
      </c>
      <c r="BB10" s="89">
        <f>(V10/(U10+K10)-1)-VLOOKUP(BB$3,'Returns &amp; Bonus'!$A$5:$B$15,2,0)</f>
        <v>1.0234868508263162E-16</v>
      </c>
      <c r="BC10" s="89">
        <f>(W10/(V10+L10)-1)-VLOOKUP(BC$3,'Returns &amp; Bonus'!$A$5:$B$15,2,0)</f>
        <v>0</v>
      </c>
      <c r="BD10" s="89">
        <f>(X10/(W10+M10)-1)-VLOOKUP(BD$3,'Returns &amp; Bonus'!$A$5:$B$15,2,0)</f>
        <v>0</v>
      </c>
      <c r="BE10" s="89">
        <f>(Y10/(X10+N10)-1)-VLOOKUP(BE$3,'Returns &amp; Bonus'!$A$5:$B$15,2,0)</f>
        <v>-1.5265566588595902E-16</v>
      </c>
      <c r="BF10" s="89">
        <f>(Z10/(Y10+O10)-1)-VLOOKUP(BF$3,'Returns &amp; Bonus'!$A$5:$B$15,2,0)</f>
        <v>0</v>
      </c>
      <c r="BG10" s="89">
        <f>(AA10/(Z10+P10)-1)-VLOOKUP(BG$3,'Returns &amp; Bonus'!$A$5:$B$15,2,0)</f>
        <v>0</v>
      </c>
      <c r="BH10" s="89">
        <f>(AB10/(AA10+Q10)-1)-VLOOKUP(BH$3,'Returns &amp; Bonus'!$A$5:$B$15,2,0)</f>
        <v>-1.2836953722228372E-16</v>
      </c>
    </row>
    <row r="11" spans="1:65" x14ac:dyDescent="0.25">
      <c r="A11" s="77">
        <f>'Amended Data'!A11</f>
        <v>8</v>
      </c>
      <c r="B11" s="75">
        <f>'Amended Data'!K11</f>
        <v>40544</v>
      </c>
      <c r="C11" s="55">
        <f>'Amended Data'!J11</f>
        <v>2974</v>
      </c>
      <c r="D11" s="56">
        <f>'Amended Data'!L11</f>
        <v>18</v>
      </c>
      <c r="E11" s="57">
        <f>'Amended Data'!M11</f>
        <v>2452.9399999999996</v>
      </c>
      <c r="F11" s="57" t="str">
        <f>'Data &amp; Formulae'!H19</f>
        <v>Y</v>
      </c>
      <c r="G11" s="57">
        <f t="shared" si="8"/>
        <v>0</v>
      </c>
      <c r="H11" s="57">
        <f t="shared" si="1"/>
        <v>2974</v>
      </c>
      <c r="I11" s="57">
        <f t="shared" si="1"/>
        <v>2974</v>
      </c>
      <c r="J11" s="57">
        <f t="shared" si="1"/>
        <v>2974</v>
      </c>
      <c r="K11" s="57">
        <f t="shared" si="1"/>
        <v>2974</v>
      </c>
      <c r="L11" s="57">
        <f t="shared" si="1"/>
        <v>2974</v>
      </c>
      <c r="M11" s="57">
        <f t="shared" si="1"/>
        <v>2974</v>
      </c>
      <c r="N11" s="57">
        <f t="shared" si="1"/>
        <v>2974</v>
      </c>
      <c r="O11" s="57">
        <f t="shared" si="1"/>
        <v>2974</v>
      </c>
      <c r="P11" s="57">
        <f t="shared" si="1"/>
        <v>2974</v>
      </c>
      <c r="Q11" s="57">
        <f t="shared" si="1"/>
        <v>2974</v>
      </c>
      <c r="R11" s="57">
        <f>IF(R$3=2010,G11*(1+VLOOKUP(R$3,'Returns &amp; Bonus'!$A$5:$B$15,2,0)),(G11+Q11)*(1+VLOOKUP(R$3,'Returns &amp; Bonus'!$A$5:$B$15,2,0)))</f>
        <v>0</v>
      </c>
      <c r="S11" s="57">
        <f>IF(S$3=2010,H11*(1+VLOOKUP(S$3,'Returns &amp; Bonus'!$A$5:$B$15,2,0)),(H11+R11)*(1+VLOOKUP(S$3,'Returns &amp; Bonus'!$A$5:$B$15,2,0)))</f>
        <v>3330.88</v>
      </c>
      <c r="T11" s="57">
        <f>IF(T$3=2010,I11*(1+VLOOKUP(T$3,'Returns &amp; Bonus'!$A$5:$B$15,2,0)),(I11+S11)*(1+VLOOKUP(T$3,'Returns &amp; Bonus'!$A$5:$B$15,2,0)))</f>
        <v>7565.8559999999998</v>
      </c>
      <c r="U11" s="57">
        <f>IF(U$3=2010,J11*(1+VLOOKUP(U$3,'Returns &amp; Bonus'!$A$5:$B$15,2,0)),(J11+T11)*(1+VLOOKUP(U$3,'Returns &amp; Bonus'!$A$5:$B$15,2,0)))</f>
        <v>13069.42144</v>
      </c>
      <c r="V11" s="57">
        <f>IF(V$3=2010,K11*(1+VLOOKUP(V$3,'Returns &amp; Bonus'!$A$5:$B$15,2,0)),(K11+U11)*(1+VLOOKUP(V$3,'Returns &amp; Bonus'!$A$5:$B$15,2,0)))</f>
        <v>15882.9872256</v>
      </c>
      <c r="W11" s="57">
        <f>IF(W$3=2010,L11*(1+VLOOKUP(W$3,'Returns &amp; Bonus'!$A$5:$B$15,2,0)),(L11+V11)*(1+VLOOKUP(W$3,'Returns &amp; Bonus'!$A$5:$B$15,2,0)))</f>
        <v>24325.513521024004</v>
      </c>
      <c r="X11" s="57">
        <f>IF(X$3=2010,M11*(1+VLOOKUP(X$3,'Returns &amp; Bonus'!$A$5:$B$15,2,0)),(M11+W11)*(1+VLOOKUP(X$3,'Returns &amp; Bonus'!$A$5:$B$15,2,0)))</f>
        <v>26753.523250603525</v>
      </c>
      <c r="Y11" s="57">
        <f>IF(Y$3=2010,N11*(1+VLOOKUP(Y$3,'Returns &amp; Bonus'!$A$5:$B$15,2,0)),(N11+X11)*(1+VLOOKUP(Y$3,'Returns &amp; Bonus'!$A$5:$B$15,2,0)))</f>
        <v>28241.147088073347</v>
      </c>
      <c r="Z11" s="57">
        <f>IF(Z$3=2010,O11*(1+VLOOKUP(Z$3,'Returns &amp; Bonus'!$A$5:$B$15,2,0)),(O11+Y11)*(1+VLOOKUP(Z$3,'Returns &amp; Bonus'!$A$5:$B$15,2,0)))</f>
        <v>35273.116209522879</v>
      </c>
      <c r="AA11" s="57">
        <f>IF(AA$3=2010,P11*(1+VLOOKUP(AA$3,'Returns &amp; Bonus'!$A$5:$B$15,2,0)),(P11+Z11)*(1+VLOOKUP(AA$3,'Returns &amp; Bonus'!$A$5:$B$15,2,0)))</f>
        <v>42454.298992570402</v>
      </c>
      <c r="AB11" s="81">
        <f>IF(AB$3=2010,Q11*(1+VLOOKUP(AB$3,'Returns &amp; Bonus'!$A$5:$B$15,2,0)),(Q11+AA11)*(1+VLOOKUP(AB$3,'Returns &amp; Bonus'!$A$5:$B$15,2,0)))</f>
        <v>44519.733012718993</v>
      </c>
      <c r="AC11" s="85"/>
      <c r="AD11" s="58">
        <f t="shared" si="2"/>
        <v>42066.79301271899</v>
      </c>
      <c r="AE11" s="58">
        <f t="shared" si="3"/>
        <v>0</v>
      </c>
      <c r="AF11" s="58">
        <f t="shared" si="9"/>
        <v>2452.9399999999996</v>
      </c>
      <c r="AG11" s="58">
        <f t="shared" si="10"/>
        <v>42066.79301271899</v>
      </c>
      <c r="AH11" s="55">
        <f>IF(VLOOKUP(A11,'Data &amp; Formulae'!$A$11:$F$91,6,0)="Y",BonusFundProp*AF11*VLOOKUP(YEAR(B11),'Returns &amp; Bonus'!$G$4:$I$15,3,0),0)</f>
        <v>564.17619999999988</v>
      </c>
      <c r="AI11" s="55">
        <f>IF(VLOOKUP(A11,'Data &amp; Formulae'!$A$11:$F$91,6,0)="Y",ClaimFundProp*AF11+AH11,0)</f>
        <v>2526.5281999999997</v>
      </c>
      <c r="AJ11" s="55">
        <f t="shared" si="4"/>
        <v>2526.5281999999997</v>
      </c>
      <c r="AK11" s="55">
        <f t="shared" si="11"/>
        <v>-73.588200000000143</v>
      </c>
      <c r="AL11" s="60"/>
      <c r="AM11" s="71">
        <f t="shared" si="5"/>
        <v>2526.5281999999997</v>
      </c>
      <c r="AN11" s="55">
        <f t="shared" si="12"/>
        <v>-73.588200000000143</v>
      </c>
      <c r="AO11" s="60"/>
      <c r="AP11" s="71">
        <f>IF(VLOOKUP(A11,'Data &amp; Formulae'!$A$11:$F$91,6,0)="Y",Scen2Bonus*AF11,0)</f>
        <v>515.11739999999986</v>
      </c>
      <c r="AQ11" s="55">
        <f>IF(VLOOKUP(A11,'Data &amp; Formulae'!$A$11:$F$91,6,0)="Y",ClaimFundProp*AF11+AP11,0)</f>
        <v>2477.4694</v>
      </c>
      <c r="AR11" s="55">
        <f t="shared" si="6"/>
        <v>2477.4694</v>
      </c>
      <c r="AS11" s="55">
        <f t="shared" si="13"/>
        <v>-24.529400000000351</v>
      </c>
      <c r="AT11" s="60"/>
      <c r="AU11" s="71">
        <f>IF(VLOOKUP(A11,'Data &amp; Formulae'!$A$11:$F$91,6,0)="Y",SurrPay*AF11,0)</f>
        <v>61.323499999999996</v>
      </c>
      <c r="AV11" s="73"/>
      <c r="AX11" s="4" t="b">
        <f t="shared" si="7"/>
        <v>1</v>
      </c>
      <c r="AY11" s="89">
        <f>(S11/(R11+H11)-1)-VLOOKUP(AY$3,'Returns &amp; Bonus'!$A$5:$B$15,2,0)</f>
        <v>1.1102230246251565E-16</v>
      </c>
      <c r="AZ11" s="89">
        <f>(T11/(S11+I11)-1)-VLOOKUP(AZ$3,'Returns &amp; Bonus'!$A$5:$B$15,2,0)</f>
        <v>0</v>
      </c>
      <c r="BA11" s="89">
        <f>(U11/(T11+J11)-1)-VLOOKUP(BA$3,'Returns &amp; Bonus'!$A$5:$B$15,2,0)</f>
        <v>0</v>
      </c>
      <c r="BB11" s="89">
        <f>(V11/(U11+K11)-1)-VLOOKUP(BB$3,'Returns &amp; Bonus'!$A$5:$B$15,2,0)</f>
        <v>0</v>
      </c>
      <c r="BC11" s="89">
        <f>(W11/(V11+L11)-1)-VLOOKUP(BC$3,'Returns &amp; Bonus'!$A$5:$B$15,2,0)</f>
        <v>0</v>
      </c>
      <c r="BD11" s="89">
        <f>(X11/(W11+M11)-1)-VLOOKUP(BD$3,'Returns &amp; Bonus'!$A$5:$B$15,2,0)</f>
        <v>0</v>
      </c>
      <c r="BE11" s="89">
        <f>(Y11/(X11+N11)-1)-VLOOKUP(BE$3,'Returns &amp; Bonus'!$A$5:$B$15,2,0)</f>
        <v>0</v>
      </c>
      <c r="BF11" s="89">
        <f>(Z11/(Y11+O11)-1)-VLOOKUP(BF$3,'Returns &amp; Bonus'!$A$5:$B$15,2,0)</f>
        <v>0</v>
      </c>
      <c r="BG11" s="89">
        <f>(AA11/(Z11+P11)-1)-VLOOKUP(BG$3,'Returns &amp; Bonus'!$A$5:$B$15,2,0)</f>
        <v>0</v>
      </c>
      <c r="BH11" s="89">
        <f>(AB11/(AA11+Q11)-1)-VLOOKUP(BH$3,'Returns &amp; Bonus'!$A$5:$B$15,2,0)</f>
        <v>0</v>
      </c>
    </row>
    <row r="12" spans="1:65" x14ac:dyDescent="0.25">
      <c r="A12" s="77">
        <f>'Amended Data'!A12</f>
        <v>9</v>
      </c>
      <c r="B12" s="75">
        <f>'Amended Data'!K12</f>
        <v>40544</v>
      </c>
      <c r="C12" s="55">
        <f>'Amended Data'!J12</f>
        <v>4813</v>
      </c>
      <c r="D12" s="56">
        <f>'Amended Data'!L12</f>
        <v>27</v>
      </c>
      <c r="E12" s="57">
        <f>'Amended Data'!M12</f>
        <v>62400</v>
      </c>
      <c r="F12" s="57" t="str">
        <f>'Data &amp; Formulae'!H20</f>
        <v>N</v>
      </c>
      <c r="G12" s="57">
        <f t="shared" si="8"/>
        <v>0</v>
      </c>
      <c r="H12" s="57">
        <f t="shared" si="1"/>
        <v>4813</v>
      </c>
      <c r="I12" s="57">
        <f t="shared" si="1"/>
        <v>4813</v>
      </c>
      <c r="J12" s="57">
        <f t="shared" si="1"/>
        <v>4813</v>
      </c>
      <c r="K12" s="57">
        <f t="shared" si="1"/>
        <v>4813</v>
      </c>
      <c r="L12" s="57">
        <f t="shared" si="1"/>
        <v>4813</v>
      </c>
      <c r="M12" s="57">
        <f t="shared" si="1"/>
        <v>4813</v>
      </c>
      <c r="N12" s="57">
        <f t="shared" si="1"/>
        <v>4813</v>
      </c>
      <c r="O12" s="57">
        <f t="shared" si="1"/>
        <v>4813</v>
      </c>
      <c r="P12" s="57">
        <f t="shared" si="1"/>
        <v>4813</v>
      </c>
      <c r="Q12" s="57">
        <f t="shared" si="1"/>
        <v>4813</v>
      </c>
      <c r="R12" s="57">
        <f>IF(R$3=2010,G12*(1+VLOOKUP(R$3,'Returns &amp; Bonus'!$A$5:$B$15,2,0)),(G12+Q12)*(1+VLOOKUP(R$3,'Returns &amp; Bonus'!$A$5:$B$15,2,0)))</f>
        <v>0</v>
      </c>
      <c r="S12" s="57">
        <f>IF(S$3=2010,H12*(1+VLOOKUP(S$3,'Returns &amp; Bonus'!$A$5:$B$15,2,0)),(H12+R12)*(1+VLOOKUP(S$3,'Returns &amp; Bonus'!$A$5:$B$15,2,0)))</f>
        <v>5390.56</v>
      </c>
      <c r="T12" s="57">
        <f>IF(T$3=2010,I12*(1+VLOOKUP(T$3,'Returns &amp; Bonus'!$A$5:$B$15,2,0)),(I12+S12)*(1+VLOOKUP(T$3,'Returns &amp; Bonus'!$A$5:$B$15,2,0)))</f>
        <v>12244.272000000001</v>
      </c>
      <c r="U12" s="57">
        <f>IF(U$3=2010,J12*(1+VLOOKUP(U$3,'Returns &amp; Bonus'!$A$5:$B$15,2,0)),(J12+T12)*(1+VLOOKUP(U$3,'Returns &amp; Bonus'!$A$5:$B$15,2,0)))</f>
        <v>21151.01728</v>
      </c>
      <c r="V12" s="57">
        <f>IF(V$3=2010,K12*(1+VLOOKUP(V$3,'Returns &amp; Bonus'!$A$5:$B$15,2,0)),(K12+U12)*(1+VLOOKUP(V$3,'Returns &amp; Bonus'!$A$5:$B$15,2,0)))</f>
        <v>25704.377107199998</v>
      </c>
      <c r="W12" s="57">
        <f>IF(W$3=2010,L12*(1+VLOOKUP(W$3,'Returns &amp; Bonus'!$A$5:$B$15,2,0)),(L12+V12)*(1+VLOOKUP(W$3,'Returns &amp; Bonus'!$A$5:$B$15,2,0)))</f>
        <v>39367.416468288</v>
      </c>
      <c r="X12" s="57">
        <f>IF(X$3=2010,M12*(1+VLOOKUP(X$3,'Returns &amp; Bonus'!$A$5:$B$15,2,0)),(M12+W12)*(1+VLOOKUP(X$3,'Returns &amp; Bonus'!$A$5:$B$15,2,0)))</f>
        <v>43296.808138922243</v>
      </c>
      <c r="Y12" s="57">
        <f>IF(Y$3=2010,N12*(1+VLOOKUP(Y$3,'Returns &amp; Bonus'!$A$5:$B$15,2,0)),(N12+X12)*(1+VLOOKUP(Y$3,'Returns &amp; Bonus'!$A$5:$B$15,2,0)))</f>
        <v>45704.317731976131</v>
      </c>
      <c r="Z12" s="57">
        <f>IF(Z$3=2010,O12*(1+VLOOKUP(Z$3,'Returns &amp; Bonus'!$A$5:$B$15,2,0)),(O12+Y12)*(1+VLOOKUP(Z$3,'Returns &amp; Bonus'!$A$5:$B$15,2,0)))</f>
        <v>57084.56903713302</v>
      </c>
      <c r="AA12" s="57">
        <f>IF(AA$3=2010,P12*(1+VLOOKUP(AA$3,'Returns &amp; Bonus'!$A$5:$B$15,2,0)),(P12+Z12)*(1+VLOOKUP(AA$3,'Returns &amp; Bonus'!$A$5:$B$15,2,0)))</f>
        <v>68706.301631217662</v>
      </c>
      <c r="AB12" s="81">
        <f>IF(AB$3=2010,Q12*(1+VLOOKUP(AB$3,'Returns &amp; Bonus'!$A$5:$B$15,2,0)),(Q12+AA12)*(1+VLOOKUP(AB$3,'Returns &amp; Bonus'!$A$5:$B$15,2,0)))</f>
        <v>72048.915598593303</v>
      </c>
      <c r="AC12" s="85"/>
      <c r="AD12" s="58">
        <f t="shared" si="2"/>
        <v>9648.915598593303</v>
      </c>
      <c r="AE12" s="58" t="str">
        <f t="shared" si="3"/>
        <v>ERROR</v>
      </c>
      <c r="AF12" s="58">
        <f t="shared" si="9"/>
        <v>72048.915598593303</v>
      </c>
      <c r="AG12" s="58">
        <f t="shared" si="10"/>
        <v>0</v>
      </c>
      <c r="AH12" s="55">
        <f>IF(VLOOKUP(A12,'Data &amp; Formulae'!$A$11:$F$91,6,0)="Y",BonusFundProp*AF12*VLOOKUP(YEAR(B12),'Returns &amp; Bonus'!$G$4:$I$15,3,0),0)</f>
        <v>16571.250587676459</v>
      </c>
      <c r="AI12" s="55">
        <f>IF(VLOOKUP(A12,'Data &amp; Formulae'!$A$11:$F$91,6,0)="Y",ClaimFundProp*AF12+AH12,0)</f>
        <v>74210.383066551105</v>
      </c>
      <c r="AJ12" s="55">
        <f t="shared" si="4"/>
        <v>74210.383066551105</v>
      </c>
      <c r="AK12" s="55">
        <f t="shared" si="11"/>
        <v>-2161.467467957802</v>
      </c>
      <c r="AL12" s="60"/>
      <c r="AM12" s="71">
        <f t="shared" si="5"/>
        <v>74210.383066551105</v>
      </c>
      <c r="AN12" s="55">
        <f t="shared" si="12"/>
        <v>-2161.467467957802</v>
      </c>
      <c r="AO12" s="60"/>
      <c r="AP12" s="71">
        <f>IF(VLOOKUP(A12,'Data &amp; Formulae'!$A$11:$F$91,6,0)="Y",Scen2Bonus*AF12,0)</f>
        <v>15130.272275704592</v>
      </c>
      <c r="AQ12" s="55">
        <f>IF(VLOOKUP(A12,'Data &amp; Formulae'!$A$11:$F$91,6,0)="Y",ClaimFundProp*AF12+AP12,0)</f>
        <v>72769.404754579242</v>
      </c>
      <c r="AR12" s="55">
        <f t="shared" si="6"/>
        <v>72769.404754579242</v>
      </c>
      <c r="AS12" s="55">
        <f t="shared" si="13"/>
        <v>-720.48915598593885</v>
      </c>
      <c r="AT12" s="60"/>
      <c r="AU12" s="71">
        <f>IF(VLOOKUP(A12,'Data &amp; Formulae'!$A$11:$F$91,6,0)="Y",SurrPay*AF12,0)</f>
        <v>1801.2228899648326</v>
      </c>
      <c r="AV12" s="73"/>
      <c r="AX12" s="4" t="b">
        <f t="shared" si="7"/>
        <v>1</v>
      </c>
      <c r="AY12" s="89">
        <f>(S12/(R12+H12)-1)-VLOOKUP(AY$3,'Returns &amp; Bonus'!$A$5:$B$15,2,0)</f>
        <v>1.1102230246251565E-16</v>
      </c>
      <c r="AZ12" s="89">
        <f>(T12/(S12+I12)-1)-VLOOKUP(AZ$3,'Returns &amp; Bonus'!$A$5:$B$15,2,0)</f>
        <v>0</v>
      </c>
      <c r="BA12" s="89">
        <f>(U12/(T12+J12)-1)-VLOOKUP(BA$3,'Returns &amp; Bonus'!$A$5:$B$15,2,0)</f>
        <v>0</v>
      </c>
      <c r="BB12" s="89">
        <f>(V12/(U12+K12)-1)-VLOOKUP(BB$3,'Returns &amp; Bonus'!$A$5:$B$15,2,0)</f>
        <v>-1.1969591984239969E-16</v>
      </c>
      <c r="BC12" s="89">
        <f>(W12/(V12+L12)-1)-VLOOKUP(BC$3,'Returns &amp; Bonus'!$A$5:$B$15,2,0)</f>
        <v>0</v>
      </c>
      <c r="BD12" s="89">
        <f>(X12/(W12+M12)-1)-VLOOKUP(BD$3,'Returns &amp; Bonus'!$A$5:$B$15,2,0)</f>
        <v>9.3675067702747583E-17</v>
      </c>
      <c r="BE12" s="89">
        <f>(Y12/(X12+N12)-1)-VLOOKUP(BE$3,'Returns &amp; Bonus'!$A$5:$B$15,2,0)</f>
        <v>0</v>
      </c>
      <c r="BF12" s="89">
        <f>(Z12/(Y12+O12)-1)-VLOOKUP(BF$3,'Returns &amp; Bonus'!$A$5:$B$15,2,0)</f>
        <v>0</v>
      </c>
      <c r="BG12" s="89">
        <f>(AA12/(Z12+P12)-1)-VLOOKUP(BG$3,'Returns &amp; Bonus'!$A$5:$B$15,2,0)</f>
        <v>0</v>
      </c>
      <c r="BH12" s="89">
        <f>(AB12/(AA12+Q12)-1)-VLOOKUP(BH$3,'Returns &amp; Bonus'!$A$5:$B$15,2,0)</f>
        <v>-1.2836953722228372E-16</v>
      </c>
    </row>
    <row r="13" spans="1:65" x14ac:dyDescent="0.25">
      <c r="A13" s="77">
        <f>'Amended Data'!A13</f>
        <v>10</v>
      </c>
      <c r="B13" s="75">
        <f>'Amended Data'!K13</f>
        <v>40544</v>
      </c>
      <c r="C13" s="55">
        <f>'Amended Data'!J13</f>
        <v>8845</v>
      </c>
      <c r="D13" s="56">
        <f>'Amended Data'!L13</f>
        <v>30</v>
      </c>
      <c r="E13" s="57">
        <f>'Amended Data'!M13</f>
        <v>32227.054999999993</v>
      </c>
      <c r="F13" s="57" t="str">
        <f>'Data &amp; Formulae'!H21</f>
        <v>Y</v>
      </c>
      <c r="G13" s="57">
        <f t="shared" si="8"/>
        <v>0</v>
      </c>
      <c r="H13" s="57">
        <f t="shared" si="1"/>
        <v>8845</v>
      </c>
      <c r="I13" s="57">
        <f t="shared" si="1"/>
        <v>8845</v>
      </c>
      <c r="J13" s="57">
        <f t="shared" si="1"/>
        <v>8845</v>
      </c>
      <c r="K13" s="57">
        <f t="shared" si="1"/>
        <v>8845</v>
      </c>
      <c r="L13" s="57">
        <f t="shared" si="1"/>
        <v>8845</v>
      </c>
      <c r="M13" s="57">
        <f t="shared" si="1"/>
        <v>8845</v>
      </c>
      <c r="N13" s="57">
        <f t="shared" si="1"/>
        <v>8845</v>
      </c>
      <c r="O13" s="57">
        <f t="shared" si="1"/>
        <v>8845</v>
      </c>
      <c r="P13" s="57">
        <f t="shared" si="1"/>
        <v>8845</v>
      </c>
      <c r="Q13" s="57">
        <f t="shared" si="1"/>
        <v>8845</v>
      </c>
      <c r="R13" s="57">
        <f>IF(R$3=2010,G13*(1+VLOOKUP(R$3,'Returns &amp; Bonus'!$A$5:$B$15,2,0)),(G13+Q13)*(1+VLOOKUP(R$3,'Returns &amp; Bonus'!$A$5:$B$15,2,0)))</f>
        <v>0</v>
      </c>
      <c r="S13" s="57">
        <f>IF(S$3=2010,H13*(1+VLOOKUP(S$3,'Returns &amp; Bonus'!$A$5:$B$15,2,0)),(H13+R13)*(1+VLOOKUP(S$3,'Returns &amp; Bonus'!$A$5:$B$15,2,0)))</f>
        <v>9906.4000000000015</v>
      </c>
      <c r="T13" s="57">
        <f>IF(T$3=2010,I13*(1+VLOOKUP(T$3,'Returns &amp; Bonus'!$A$5:$B$15,2,0)),(I13+S13)*(1+VLOOKUP(T$3,'Returns &amp; Bonus'!$A$5:$B$15,2,0)))</f>
        <v>22501.68</v>
      </c>
      <c r="U13" s="57">
        <f>IF(U$3=2010,J13*(1+VLOOKUP(U$3,'Returns &amp; Bonus'!$A$5:$B$15,2,0)),(J13+T13)*(1+VLOOKUP(U$3,'Returns &amp; Bonus'!$A$5:$B$15,2,0)))</f>
        <v>38869.883199999997</v>
      </c>
      <c r="V13" s="57">
        <f>IF(V$3=2010,K13*(1+VLOOKUP(V$3,'Returns &amp; Bonus'!$A$5:$B$15,2,0)),(K13+U13)*(1+VLOOKUP(V$3,'Returns &amp; Bonus'!$A$5:$B$15,2,0)))</f>
        <v>47237.734367999998</v>
      </c>
      <c r="W13" s="57">
        <f>IF(W$3=2010,L13*(1+VLOOKUP(W$3,'Returns &amp; Bonus'!$A$5:$B$15,2,0)),(L13+V13)*(1+VLOOKUP(W$3,'Returns &amp; Bonus'!$A$5:$B$15,2,0)))</f>
        <v>72346.727334719995</v>
      </c>
      <c r="X13" s="57">
        <f>IF(X$3=2010,M13*(1+VLOOKUP(X$3,'Returns &amp; Bonus'!$A$5:$B$15,2,0)),(M13+W13)*(1+VLOOKUP(X$3,'Returns &amp; Bonus'!$A$5:$B$15,2,0)))</f>
        <v>79567.892788025594</v>
      </c>
      <c r="Y13" s="57">
        <f>IF(Y$3=2010,N13*(1+VLOOKUP(Y$3,'Returns &amp; Bonus'!$A$5:$B$15,2,0)),(N13+X13)*(1+VLOOKUP(Y$3,'Returns &amp; Bonus'!$A$5:$B$15,2,0)))</f>
        <v>83992.248148624305</v>
      </c>
      <c r="Z13" s="57">
        <f>IF(Z$3=2010,O13*(1+VLOOKUP(Z$3,'Returns &amp; Bonus'!$A$5:$B$15,2,0)),(O13+Y13)*(1+VLOOKUP(Z$3,'Returns &amp; Bonus'!$A$5:$B$15,2,0)))</f>
        <v>104906.09040794545</v>
      </c>
      <c r="AA13" s="57">
        <f>IF(AA$3=2010,P13*(1+VLOOKUP(AA$3,'Returns &amp; Bonus'!$A$5:$B$15,2,0)),(P13+Z13)*(1+VLOOKUP(AA$3,'Returns &amp; Bonus'!$A$5:$B$15,2,0)))</f>
        <v>126263.71035281946</v>
      </c>
      <c r="AB13" s="81">
        <f>IF(AB$3=2010,Q13*(1+VLOOKUP(AB$3,'Returns &amp; Bonus'!$A$5:$B$15,2,0)),(Q13+AA13)*(1+VLOOKUP(AB$3,'Returns &amp; Bonus'!$A$5:$B$15,2,0)))</f>
        <v>132406.53614576309</v>
      </c>
      <c r="AC13" s="85"/>
      <c r="AD13" s="58">
        <f t="shared" si="2"/>
        <v>100179.4811457631</v>
      </c>
      <c r="AE13" s="58">
        <f t="shared" si="3"/>
        <v>0</v>
      </c>
      <c r="AF13" s="58">
        <f t="shared" si="9"/>
        <v>32227.054999999993</v>
      </c>
      <c r="AG13" s="58">
        <f t="shared" si="10"/>
        <v>100179.4811457631</v>
      </c>
      <c r="AH13" s="55">
        <f>IF(VLOOKUP(A13,'Data &amp; Formulae'!$A$11:$F$91,6,0)="Y",BonusFundProp*AF13*VLOOKUP(YEAR(B13),'Returns &amp; Bonus'!$G$4:$I$15,3,0),0)</f>
        <v>0</v>
      </c>
      <c r="AI13" s="55">
        <f>IF(VLOOKUP(A13,'Data &amp; Formulae'!$A$11:$F$91,6,0)="Y",ClaimFundProp*AF13+AH13,0)</f>
        <v>0</v>
      </c>
      <c r="AJ13" s="55">
        <f t="shared" si="4"/>
        <v>0</v>
      </c>
      <c r="AK13" s="55">
        <f t="shared" si="11"/>
        <v>0</v>
      </c>
      <c r="AL13" s="60"/>
      <c r="AM13" s="71">
        <f t="shared" si="5"/>
        <v>0</v>
      </c>
      <c r="AN13" s="55">
        <f t="shared" si="12"/>
        <v>0</v>
      </c>
      <c r="AO13" s="60"/>
      <c r="AP13" s="71">
        <f>IF(VLOOKUP(A13,'Data &amp; Formulae'!$A$11:$F$91,6,0)="Y",Scen2Bonus*AF13,0)</f>
        <v>0</v>
      </c>
      <c r="AQ13" s="55">
        <f>IF(VLOOKUP(A13,'Data &amp; Formulae'!$A$11:$F$91,6,0)="Y",ClaimFundProp*AF13+AP13,0)</f>
        <v>0</v>
      </c>
      <c r="AR13" s="55">
        <f t="shared" si="6"/>
        <v>0</v>
      </c>
      <c r="AS13" s="55">
        <f t="shared" si="13"/>
        <v>0</v>
      </c>
      <c r="AT13" s="60"/>
      <c r="AU13" s="71">
        <f>IF(VLOOKUP(A13,'Data &amp; Formulae'!$A$11:$F$91,6,0)="Y",SurrPay*AF13,0)</f>
        <v>0</v>
      </c>
      <c r="AV13" s="73"/>
      <c r="AX13" s="4" t="b">
        <f t="shared" si="7"/>
        <v>1</v>
      </c>
      <c r="AY13" s="89">
        <f>(S13/(R13+H13)-1)-VLOOKUP(AY$3,'Returns &amp; Bonus'!$A$5:$B$15,2,0)</f>
        <v>1.1102230246251565E-16</v>
      </c>
      <c r="AZ13" s="89">
        <f>(T13/(S13+I13)-1)-VLOOKUP(AZ$3,'Returns &amp; Bonus'!$A$5:$B$15,2,0)</f>
        <v>0</v>
      </c>
      <c r="BA13" s="89">
        <f>(U13/(T13+J13)-1)-VLOOKUP(BA$3,'Returns &amp; Bonus'!$A$5:$B$15,2,0)</f>
        <v>-2.2204460492503131E-16</v>
      </c>
      <c r="BB13" s="89">
        <f>(V13/(U13+K13)-1)-VLOOKUP(BB$3,'Returns &amp; Bonus'!$A$5:$B$15,2,0)</f>
        <v>0</v>
      </c>
      <c r="BC13" s="89">
        <f>(W13/(V13+L13)-1)-VLOOKUP(BC$3,'Returns &amp; Bonus'!$A$5:$B$15,2,0)</f>
        <v>0</v>
      </c>
      <c r="BD13" s="89">
        <f>(X13/(W13+M13)-1)-VLOOKUP(BD$3,'Returns &amp; Bonus'!$A$5:$B$15,2,0)</f>
        <v>0</v>
      </c>
      <c r="BE13" s="89">
        <f>(Y13/(X13+N13)-1)-VLOOKUP(BE$3,'Returns &amp; Bonus'!$A$5:$B$15,2,0)</f>
        <v>-1.5265566588595902E-16</v>
      </c>
      <c r="BF13" s="89">
        <f>(Z13/(Y13+O13)-1)-VLOOKUP(BF$3,'Returns &amp; Bonus'!$A$5:$B$15,2,0)</f>
        <v>0</v>
      </c>
      <c r="BG13" s="89">
        <f>(AA13/(Z13+P13)-1)-VLOOKUP(BG$3,'Returns &amp; Bonus'!$A$5:$B$15,2,0)</f>
        <v>0</v>
      </c>
      <c r="BH13" s="89">
        <f>(AB13/(AA13+Q13)-1)-VLOOKUP(BH$3,'Returns &amp; Bonus'!$A$5:$B$15,2,0)</f>
        <v>9.3675067702747583E-17</v>
      </c>
    </row>
    <row r="14" spans="1:65" x14ac:dyDescent="0.25">
      <c r="A14" s="77">
        <f>'Amended Data'!A14</f>
        <v>11</v>
      </c>
      <c r="B14" s="75">
        <f>'Amended Data'!K14</f>
        <v>40544</v>
      </c>
      <c r="C14" s="55">
        <f>'Amended Data'!J14</f>
        <v>10000</v>
      </c>
      <c r="D14" s="56">
        <f>'Amended Data'!L14</f>
        <v>30</v>
      </c>
      <c r="E14" s="57">
        <f>'Amended Data'!M14</f>
        <v>4064.1824999999994</v>
      </c>
      <c r="F14" s="57" t="str">
        <f>'Data &amp; Formulae'!H22</f>
        <v>Y</v>
      </c>
      <c r="G14" s="57">
        <f t="shared" si="8"/>
        <v>0</v>
      </c>
      <c r="H14" s="57">
        <f t="shared" si="1"/>
        <v>10000</v>
      </c>
      <c r="I14" s="57">
        <f t="shared" si="1"/>
        <v>10000</v>
      </c>
      <c r="J14" s="57">
        <f t="shared" si="1"/>
        <v>10000</v>
      </c>
      <c r="K14" s="57">
        <f t="shared" si="1"/>
        <v>10000</v>
      </c>
      <c r="L14" s="57">
        <f t="shared" si="1"/>
        <v>10000</v>
      </c>
      <c r="M14" s="57">
        <f t="shared" si="1"/>
        <v>10000</v>
      </c>
      <c r="N14" s="57">
        <f t="shared" si="1"/>
        <v>10000</v>
      </c>
      <c r="O14" s="57">
        <f t="shared" si="1"/>
        <v>10000</v>
      </c>
      <c r="P14" s="57">
        <f t="shared" si="1"/>
        <v>10000</v>
      </c>
      <c r="Q14" s="57">
        <f t="shared" si="1"/>
        <v>10000</v>
      </c>
      <c r="R14" s="57">
        <f>IF(R$3=2010,G14*(1+VLOOKUP(R$3,'Returns &amp; Bonus'!$A$5:$B$15,2,0)),(G14+Q14)*(1+VLOOKUP(R$3,'Returns &amp; Bonus'!$A$5:$B$15,2,0)))</f>
        <v>0</v>
      </c>
      <c r="S14" s="57">
        <f>IF(S$3=2010,H14*(1+VLOOKUP(S$3,'Returns &amp; Bonus'!$A$5:$B$15,2,0)),(H14+R14)*(1+VLOOKUP(S$3,'Returns &amp; Bonus'!$A$5:$B$15,2,0)))</f>
        <v>11200.000000000002</v>
      </c>
      <c r="T14" s="57">
        <f>IF(T$3=2010,I14*(1+VLOOKUP(T$3,'Returns &amp; Bonus'!$A$5:$B$15,2,0)),(I14+S14)*(1+VLOOKUP(T$3,'Returns &amp; Bonus'!$A$5:$B$15,2,0)))</f>
        <v>25440</v>
      </c>
      <c r="U14" s="57">
        <f>IF(U$3=2010,J14*(1+VLOOKUP(U$3,'Returns &amp; Bonus'!$A$5:$B$15,2,0)),(J14+T14)*(1+VLOOKUP(U$3,'Returns &amp; Bonus'!$A$5:$B$15,2,0)))</f>
        <v>43945.599999999999</v>
      </c>
      <c r="V14" s="57">
        <f>IF(V$3=2010,K14*(1+VLOOKUP(V$3,'Returns &amp; Bonus'!$A$5:$B$15,2,0)),(K14+U14)*(1+VLOOKUP(V$3,'Returns &amp; Bonus'!$A$5:$B$15,2,0)))</f>
        <v>53406.144</v>
      </c>
      <c r="W14" s="57">
        <f>IF(W$3=2010,L14*(1+VLOOKUP(W$3,'Returns &amp; Bonus'!$A$5:$B$15,2,0)),(L14+V14)*(1+VLOOKUP(W$3,'Returns &amp; Bonus'!$A$5:$B$15,2,0)))</f>
        <v>81793.925759999998</v>
      </c>
      <c r="X14" s="57">
        <f>IF(X$3=2010,M14*(1+VLOOKUP(X$3,'Returns &amp; Bonus'!$A$5:$B$15,2,0)),(M14+W14)*(1+VLOOKUP(X$3,'Returns &amp; Bonus'!$A$5:$B$15,2,0)))</f>
        <v>89958.047244799993</v>
      </c>
      <c r="Y14" s="57">
        <f>IF(Y$3=2010,N14*(1+VLOOKUP(Y$3,'Returns &amp; Bonus'!$A$5:$B$15,2,0)),(N14+X14)*(1+VLOOKUP(Y$3,'Returns &amp; Bonus'!$A$5:$B$15,2,0)))</f>
        <v>94960.144882559995</v>
      </c>
      <c r="Z14" s="57">
        <f>IF(Z$3=2010,O14*(1+VLOOKUP(Z$3,'Returns &amp; Bonus'!$A$5:$B$15,2,0)),(O14+Y14)*(1+VLOOKUP(Z$3,'Returns &amp; Bonus'!$A$5:$B$15,2,0)))</f>
        <v>118604.96371729278</v>
      </c>
      <c r="AA14" s="57">
        <f>IF(AA$3=2010,P14*(1+VLOOKUP(AA$3,'Returns &amp; Bonus'!$A$5:$B$15,2,0)),(P14+Z14)*(1+VLOOKUP(AA$3,'Returns &amp; Bonus'!$A$5:$B$15,2,0)))</f>
        <v>142751.50972619498</v>
      </c>
      <c r="AB14" s="81">
        <f>IF(AB$3=2010,Q14*(1+VLOOKUP(AB$3,'Returns &amp; Bonus'!$A$5:$B$15,2,0)),(Q14+AA14)*(1+VLOOKUP(AB$3,'Returns &amp; Bonus'!$A$5:$B$15,2,0)))</f>
        <v>149696.4795316711</v>
      </c>
      <c r="AC14" s="85"/>
      <c r="AD14" s="58">
        <f t="shared" si="2"/>
        <v>145632.2970316711</v>
      </c>
      <c r="AE14" s="58">
        <f t="shared" si="3"/>
        <v>0</v>
      </c>
      <c r="AF14" s="58">
        <f t="shared" si="9"/>
        <v>4064.1824999999994</v>
      </c>
      <c r="AG14" s="58">
        <f t="shared" si="10"/>
        <v>145632.2970316711</v>
      </c>
      <c r="AH14" s="55">
        <f>IF(VLOOKUP(A14,'Data &amp; Formulae'!$A$11:$F$91,6,0)="Y",BonusFundProp*AF14*VLOOKUP(YEAR(B14),'Returns &amp; Bonus'!$G$4:$I$15,3,0),0)</f>
        <v>934.76197499999978</v>
      </c>
      <c r="AI14" s="55">
        <f>IF(VLOOKUP(A14,'Data &amp; Formulae'!$A$11:$F$91,6,0)="Y",ClaimFundProp*AF14+AH14,0)</f>
        <v>4186.107974999999</v>
      </c>
      <c r="AJ14" s="55">
        <f t="shared" si="4"/>
        <v>4186.107974999999</v>
      </c>
      <c r="AK14" s="55">
        <f t="shared" si="11"/>
        <v>-121.92547499999955</v>
      </c>
      <c r="AL14" s="60"/>
      <c r="AM14" s="71">
        <f t="shared" si="5"/>
        <v>4186.107974999999</v>
      </c>
      <c r="AN14" s="55">
        <f t="shared" si="12"/>
        <v>-121.92547499999955</v>
      </c>
      <c r="AO14" s="60"/>
      <c r="AP14" s="71">
        <f>IF(VLOOKUP(A14,'Data &amp; Formulae'!$A$11:$F$91,6,0)="Y",Scen2Bonus*AF14,0)</f>
        <v>853.47832499999981</v>
      </c>
      <c r="AQ14" s="55">
        <f>IF(VLOOKUP(A14,'Data &amp; Formulae'!$A$11:$F$91,6,0)="Y",ClaimFundProp*AF14+AP14,0)</f>
        <v>4104.8243249999996</v>
      </c>
      <c r="AR14" s="55">
        <f t="shared" si="6"/>
        <v>4104.8243249999996</v>
      </c>
      <c r="AS14" s="55">
        <f t="shared" si="13"/>
        <v>-40.641825000000154</v>
      </c>
      <c r="AT14" s="60"/>
      <c r="AU14" s="71">
        <f>IF(VLOOKUP(A14,'Data &amp; Formulae'!$A$11:$F$91,6,0)="Y",SurrPay*AF14,0)</f>
        <v>101.60456249999999</v>
      </c>
      <c r="AV14" s="73"/>
      <c r="AX14" s="4" t="b">
        <f t="shared" si="7"/>
        <v>1</v>
      </c>
      <c r="AY14" s="89">
        <f>(S14/(R14+H14)-1)-VLOOKUP(AY$3,'Returns &amp; Bonus'!$A$5:$B$15,2,0)</f>
        <v>1.1102230246251565E-16</v>
      </c>
      <c r="AZ14" s="89">
        <f>(T14/(S14+I14)-1)-VLOOKUP(AZ$3,'Returns &amp; Bonus'!$A$5:$B$15,2,0)</f>
        <v>0</v>
      </c>
      <c r="BA14" s="89">
        <f>(U14/(T14+J14)-1)-VLOOKUP(BA$3,'Returns &amp; Bonus'!$A$5:$B$15,2,0)</f>
        <v>0</v>
      </c>
      <c r="BB14" s="89">
        <f>(V14/(U14+K14)-1)-VLOOKUP(BB$3,'Returns &amp; Bonus'!$A$5:$B$15,2,0)</f>
        <v>0</v>
      </c>
      <c r="BC14" s="89">
        <f>(W14/(V14+L14)-1)-VLOOKUP(BC$3,'Returns &amp; Bonus'!$A$5:$B$15,2,0)</f>
        <v>0</v>
      </c>
      <c r="BD14" s="89">
        <f>(X14/(W14+M14)-1)-VLOOKUP(BD$3,'Returns &amp; Bonus'!$A$5:$B$15,2,0)</f>
        <v>0</v>
      </c>
      <c r="BE14" s="89">
        <f>(Y14/(X14+N14)-1)-VLOOKUP(BE$3,'Returns &amp; Bonus'!$A$5:$B$15,2,0)</f>
        <v>6.9388939039072284E-17</v>
      </c>
      <c r="BF14" s="89">
        <f>(Z14/(Y14+O14)-1)-VLOOKUP(BF$3,'Returns &amp; Bonus'!$A$5:$B$15,2,0)</f>
        <v>0</v>
      </c>
      <c r="BG14" s="89">
        <f>(AA14/(Z14+P14)-1)-VLOOKUP(BG$3,'Returns &amp; Bonus'!$A$5:$B$15,2,0)</f>
        <v>0</v>
      </c>
      <c r="BH14" s="89">
        <f>(AB14/(AA14+Q14)-1)-VLOOKUP(BH$3,'Returns &amp; Bonus'!$A$5:$B$15,2,0)</f>
        <v>9.3675067702747583E-17</v>
      </c>
    </row>
    <row r="15" spans="1:65" x14ac:dyDescent="0.25">
      <c r="A15" s="77">
        <f>'Amended Data'!A15</f>
        <v>12</v>
      </c>
      <c r="B15" s="75">
        <f>'Amended Data'!K15</f>
        <v>40544</v>
      </c>
      <c r="C15" s="55">
        <f>'Amended Data'!J15</f>
        <v>8151</v>
      </c>
      <c r="D15" s="56">
        <f>'Amended Data'!L15</f>
        <v>18</v>
      </c>
      <c r="E15" s="57">
        <f>'Amended Data'!M15</f>
        <v>122017.60046626512</v>
      </c>
      <c r="F15" s="57" t="str">
        <f>'Data &amp; Formulae'!H23</f>
        <v>N</v>
      </c>
      <c r="G15" s="57">
        <f t="shared" si="8"/>
        <v>0</v>
      </c>
      <c r="H15" s="57">
        <f t="shared" si="1"/>
        <v>8151</v>
      </c>
      <c r="I15" s="57">
        <f t="shared" si="1"/>
        <v>8151</v>
      </c>
      <c r="J15" s="57">
        <f t="shared" si="1"/>
        <v>8151</v>
      </c>
      <c r="K15" s="57">
        <f t="shared" si="1"/>
        <v>8151</v>
      </c>
      <c r="L15" s="57">
        <f t="shared" si="1"/>
        <v>8151</v>
      </c>
      <c r="M15" s="57">
        <f t="shared" si="1"/>
        <v>8151</v>
      </c>
      <c r="N15" s="57">
        <f t="shared" si="1"/>
        <v>8151</v>
      </c>
      <c r="O15" s="57">
        <f t="shared" si="1"/>
        <v>8151</v>
      </c>
      <c r="P15" s="57">
        <f t="shared" si="1"/>
        <v>8151</v>
      </c>
      <c r="Q15" s="57">
        <f t="shared" si="1"/>
        <v>8151</v>
      </c>
      <c r="R15" s="57">
        <f>IF(R$3=2010,G15*(1+VLOOKUP(R$3,'Returns &amp; Bonus'!$A$5:$B$15,2,0)),(G15+Q15)*(1+VLOOKUP(R$3,'Returns &amp; Bonus'!$A$5:$B$15,2,0)))</f>
        <v>0</v>
      </c>
      <c r="S15" s="57">
        <f>IF(S$3=2010,H15*(1+VLOOKUP(S$3,'Returns &amp; Bonus'!$A$5:$B$15,2,0)),(H15+R15)*(1+VLOOKUP(S$3,'Returns &amp; Bonus'!$A$5:$B$15,2,0)))</f>
        <v>9129.1200000000008</v>
      </c>
      <c r="T15" s="57">
        <f>IF(T$3=2010,I15*(1+VLOOKUP(T$3,'Returns &amp; Bonus'!$A$5:$B$15,2,0)),(I15+S15)*(1+VLOOKUP(T$3,'Returns &amp; Bonus'!$A$5:$B$15,2,0)))</f>
        <v>20736.144000000004</v>
      </c>
      <c r="U15" s="57">
        <f>IF(U$3=2010,J15*(1+VLOOKUP(U$3,'Returns &amp; Bonus'!$A$5:$B$15,2,0)),(J15+T15)*(1+VLOOKUP(U$3,'Returns &amp; Bonus'!$A$5:$B$15,2,0)))</f>
        <v>35820.058560000005</v>
      </c>
      <c r="V15" s="57">
        <f>IF(V$3=2010,K15*(1+VLOOKUP(V$3,'Returns &amp; Bonus'!$A$5:$B$15,2,0)),(K15+U15)*(1+VLOOKUP(V$3,'Returns &amp; Bonus'!$A$5:$B$15,2,0)))</f>
        <v>43531.347974400007</v>
      </c>
      <c r="W15" s="57">
        <f>IF(W$3=2010,L15*(1+VLOOKUP(W$3,'Returns &amp; Bonus'!$A$5:$B$15,2,0)),(L15+V15)*(1+VLOOKUP(W$3,'Returns &amp; Bonus'!$A$5:$B$15,2,0)))</f>
        <v>66670.228886976009</v>
      </c>
      <c r="X15" s="57">
        <f>IF(X$3=2010,M15*(1+VLOOKUP(X$3,'Returns &amp; Bonus'!$A$5:$B$15,2,0)),(M15+W15)*(1+VLOOKUP(X$3,'Returns &amp; Bonus'!$A$5:$B$15,2,0)))</f>
        <v>73324.804309236482</v>
      </c>
      <c r="Y15" s="57">
        <f>IF(Y$3=2010,N15*(1+VLOOKUP(Y$3,'Returns &amp; Bonus'!$A$5:$B$15,2,0)),(N15+X15)*(1+VLOOKUP(Y$3,'Returns &amp; Bonus'!$A$5:$B$15,2,0)))</f>
        <v>77402.014093774662</v>
      </c>
      <c r="Z15" s="57">
        <f>IF(Z$3=2010,O15*(1+VLOOKUP(Z$3,'Returns &amp; Bonus'!$A$5:$B$15,2,0)),(O15+Y15)*(1+VLOOKUP(Z$3,'Returns &amp; Bonus'!$A$5:$B$15,2,0)))</f>
        <v>96674.905925965359</v>
      </c>
      <c r="AA15" s="57">
        <f>IF(AA$3=2010,P15*(1+VLOOKUP(AA$3,'Returns &amp; Bonus'!$A$5:$B$15,2,0)),(P15+Z15)*(1+VLOOKUP(AA$3,'Returns &amp; Bonus'!$A$5:$B$15,2,0)))</f>
        <v>116356.75557782156</v>
      </c>
      <c r="AB15" s="81">
        <f>IF(AB$3=2010,Q15*(1+VLOOKUP(AB$3,'Returns &amp; Bonus'!$A$5:$B$15,2,0)),(Q15+AA15)*(1+VLOOKUP(AB$3,'Returns &amp; Bonus'!$A$5:$B$15,2,0)))</f>
        <v>122017.60046626512</v>
      </c>
      <c r="AC15" s="85"/>
      <c r="AD15" s="58">
        <f t="shared" si="2"/>
        <v>0</v>
      </c>
      <c r="AE15" s="58">
        <f t="shared" si="3"/>
        <v>0</v>
      </c>
      <c r="AF15" s="58">
        <f t="shared" si="9"/>
        <v>122017.60046626512</v>
      </c>
      <c r="AG15" s="58">
        <f t="shared" si="10"/>
        <v>0</v>
      </c>
      <c r="AH15" s="55">
        <f>IF(VLOOKUP(A15,'Data &amp; Formulae'!$A$11:$F$91,6,0)="Y",BonusFundProp*AF15*VLOOKUP(YEAR(B15),'Returns &amp; Bonus'!$G$4:$I$15,3,0),0)</f>
        <v>28064.048107240978</v>
      </c>
      <c r="AI15" s="55">
        <f>IF(VLOOKUP(A15,'Data &amp; Formulae'!$A$11:$F$91,6,0)="Y",ClaimFundProp*AF15+AH15,0)</f>
        <v>125678.12848025309</v>
      </c>
      <c r="AJ15" s="55">
        <f t="shared" si="4"/>
        <v>125678.12848025309</v>
      </c>
      <c r="AK15" s="55">
        <f t="shared" si="11"/>
        <v>-3660.5280139879615</v>
      </c>
      <c r="AL15" s="60"/>
      <c r="AM15" s="71">
        <f t="shared" si="5"/>
        <v>125678.12848025309</v>
      </c>
      <c r="AN15" s="55">
        <f t="shared" si="12"/>
        <v>-3660.5280139879615</v>
      </c>
      <c r="AO15" s="60"/>
      <c r="AP15" s="71">
        <f>IF(VLOOKUP(A15,'Data &amp; Formulae'!$A$11:$F$91,6,0)="Y",Scen2Bonus*AF15,0)</f>
        <v>25623.696097915676</v>
      </c>
      <c r="AQ15" s="55">
        <f>IF(VLOOKUP(A15,'Data &amp; Formulae'!$A$11:$F$91,6,0)="Y",ClaimFundProp*AF15+AP15,0)</f>
        <v>123237.77647092778</v>
      </c>
      <c r="AR15" s="55">
        <f t="shared" si="6"/>
        <v>123237.77647092778</v>
      </c>
      <c r="AS15" s="55">
        <f t="shared" si="13"/>
        <v>-1220.1760046626587</v>
      </c>
      <c r="AT15" s="60"/>
      <c r="AU15" s="71">
        <f>IF(VLOOKUP(A15,'Data &amp; Formulae'!$A$11:$F$91,6,0)="Y",SurrPay*AF15,0)</f>
        <v>3050.4400116566285</v>
      </c>
      <c r="AV15" s="73"/>
      <c r="AX15" s="4" t="b">
        <f t="shared" si="7"/>
        <v>1</v>
      </c>
      <c r="AY15" s="89">
        <f>(S15/(R15+H15)-1)-VLOOKUP(AY$3,'Returns &amp; Bonus'!$A$5:$B$15,2,0)</f>
        <v>1.1102230246251565E-16</v>
      </c>
      <c r="AZ15" s="89">
        <f>(T15/(S15+I15)-1)-VLOOKUP(AZ$3,'Returns &amp; Bonus'!$A$5:$B$15,2,0)</f>
        <v>0</v>
      </c>
      <c r="BA15" s="89">
        <f>(U15/(T15+J15)-1)-VLOOKUP(BA$3,'Returns &amp; Bonus'!$A$5:$B$15,2,0)</f>
        <v>0</v>
      </c>
      <c r="BB15" s="89">
        <f>(V15/(U15+K15)-1)-VLOOKUP(BB$3,'Returns &amp; Bonus'!$A$5:$B$15,2,0)</f>
        <v>0</v>
      </c>
      <c r="BC15" s="89">
        <f>(W15/(V15+L15)-1)-VLOOKUP(BC$3,'Returns &amp; Bonus'!$A$5:$B$15,2,0)</f>
        <v>0</v>
      </c>
      <c r="BD15" s="89">
        <f>(X15/(W15+M15)-1)-VLOOKUP(BD$3,'Returns &amp; Bonus'!$A$5:$B$15,2,0)</f>
        <v>-1.2836953722228372E-16</v>
      </c>
      <c r="BE15" s="89">
        <f>(Y15/(X15+N15)-1)-VLOOKUP(BE$3,'Returns &amp; Bonus'!$A$5:$B$15,2,0)</f>
        <v>6.9388939039072284E-17</v>
      </c>
      <c r="BF15" s="89">
        <f>(Z15/(Y15+O15)-1)-VLOOKUP(BF$3,'Returns &amp; Bonus'!$A$5:$B$15,2,0)</f>
        <v>0</v>
      </c>
      <c r="BG15" s="89">
        <f>(AA15/(Z15+P15)-1)-VLOOKUP(BG$3,'Returns &amp; Bonus'!$A$5:$B$15,2,0)</f>
        <v>0</v>
      </c>
      <c r="BH15" s="89">
        <f>(AB15/(AA15+Q15)-1)-VLOOKUP(BH$3,'Returns &amp; Bonus'!$A$5:$B$15,2,0)</f>
        <v>0</v>
      </c>
    </row>
    <row r="16" spans="1:65" x14ac:dyDescent="0.25">
      <c r="A16" s="77">
        <f>'Amended Data'!A16</f>
        <v>13</v>
      </c>
      <c r="B16" s="75">
        <f>'Amended Data'!K16</f>
        <v>40544</v>
      </c>
      <c r="C16" s="55">
        <f>'Amended Data'!J16</f>
        <v>8124</v>
      </c>
      <c r="D16" s="56">
        <f>'Amended Data'!L16</f>
        <v>11</v>
      </c>
      <c r="E16" s="57">
        <f>'Amended Data'!M16</f>
        <v>710.255</v>
      </c>
      <c r="F16" s="57" t="str">
        <f>'Data &amp; Formulae'!H24</f>
        <v>Y</v>
      </c>
      <c r="G16" s="57">
        <f t="shared" si="8"/>
        <v>0</v>
      </c>
      <c r="H16" s="57">
        <f t="shared" si="1"/>
        <v>8124</v>
      </c>
      <c r="I16" s="57">
        <f t="shared" si="1"/>
        <v>8124</v>
      </c>
      <c r="J16" s="57">
        <f t="shared" si="1"/>
        <v>8124</v>
      </c>
      <c r="K16" s="57">
        <f t="shared" si="1"/>
        <v>8124</v>
      </c>
      <c r="L16" s="57">
        <f t="shared" si="1"/>
        <v>8124</v>
      </c>
      <c r="M16" s="57">
        <f t="shared" si="1"/>
        <v>8124</v>
      </c>
      <c r="N16" s="57">
        <f t="shared" si="1"/>
        <v>8124</v>
      </c>
      <c r="O16" s="57">
        <f t="shared" si="1"/>
        <v>8124</v>
      </c>
      <c r="P16" s="57">
        <f t="shared" si="1"/>
        <v>8124</v>
      </c>
      <c r="Q16" s="57">
        <f t="shared" si="1"/>
        <v>8124</v>
      </c>
      <c r="R16" s="57">
        <f>IF(R$3=2010,G16*(1+VLOOKUP(R$3,'Returns &amp; Bonus'!$A$5:$B$15,2,0)),(G16+Q16)*(1+VLOOKUP(R$3,'Returns &amp; Bonus'!$A$5:$B$15,2,0)))</f>
        <v>0</v>
      </c>
      <c r="S16" s="57">
        <f>IF(S$3=2010,H16*(1+VLOOKUP(S$3,'Returns &amp; Bonus'!$A$5:$B$15,2,0)),(H16+R16)*(1+VLOOKUP(S$3,'Returns &amp; Bonus'!$A$5:$B$15,2,0)))</f>
        <v>9098.880000000001</v>
      </c>
      <c r="T16" s="57">
        <f>IF(T$3=2010,I16*(1+VLOOKUP(T$3,'Returns &amp; Bonus'!$A$5:$B$15,2,0)),(I16+S16)*(1+VLOOKUP(T$3,'Returns &amp; Bonus'!$A$5:$B$15,2,0)))</f>
        <v>20667.456000000002</v>
      </c>
      <c r="U16" s="57">
        <f>IF(U$3=2010,J16*(1+VLOOKUP(U$3,'Returns &amp; Bonus'!$A$5:$B$15,2,0)),(J16+T16)*(1+VLOOKUP(U$3,'Returns &amp; Bonus'!$A$5:$B$15,2,0)))</f>
        <v>35701.405440000002</v>
      </c>
      <c r="V16" s="57">
        <f>IF(V$3=2010,K16*(1+VLOOKUP(V$3,'Returns &amp; Bonus'!$A$5:$B$15,2,0)),(K16+U16)*(1+VLOOKUP(V$3,'Returns &amp; Bonus'!$A$5:$B$15,2,0)))</f>
        <v>43387.151385600002</v>
      </c>
      <c r="W16" s="57">
        <f>IF(W$3=2010,L16*(1+VLOOKUP(W$3,'Returns &amp; Bonus'!$A$5:$B$15,2,0)),(L16+V16)*(1+VLOOKUP(W$3,'Returns &amp; Bonus'!$A$5:$B$15,2,0)))</f>
        <v>66449.385287424011</v>
      </c>
      <c r="X16" s="57">
        <f>IF(X$3=2010,M16*(1+VLOOKUP(X$3,'Returns &amp; Bonus'!$A$5:$B$15,2,0)),(M16+W16)*(1+VLOOKUP(X$3,'Returns &amp; Bonus'!$A$5:$B$15,2,0)))</f>
        <v>73081.917581675531</v>
      </c>
      <c r="Y16" s="57">
        <f>IF(Y$3=2010,N16*(1+VLOOKUP(Y$3,'Returns &amp; Bonus'!$A$5:$B$15,2,0)),(N16+X16)*(1+VLOOKUP(Y$3,'Returns &amp; Bonus'!$A$5:$B$15,2,0)))</f>
        <v>77145.621702591758</v>
      </c>
      <c r="Z16" s="57">
        <f>IF(Z$3=2010,O16*(1+VLOOKUP(Z$3,'Returns &amp; Bonus'!$A$5:$B$15,2,0)),(O16+Y16)*(1+VLOOKUP(Z$3,'Returns &amp; Bonus'!$A$5:$B$15,2,0)))</f>
        <v>96354.672523928675</v>
      </c>
      <c r="AA16" s="57">
        <f>IF(AA$3=2010,P16*(1+VLOOKUP(AA$3,'Returns &amp; Bonus'!$A$5:$B$15,2,0)),(P16+Z16)*(1+VLOOKUP(AA$3,'Returns &amp; Bonus'!$A$5:$B$15,2,0)))</f>
        <v>115971.32650156083</v>
      </c>
      <c r="AB16" s="81">
        <f>IF(AB$3=2010,Q16*(1+VLOOKUP(AB$3,'Returns &amp; Bonus'!$A$5:$B$15,2,0)),(Q16+AA16)*(1+VLOOKUP(AB$3,'Returns &amp; Bonus'!$A$5:$B$15,2,0)))</f>
        <v>121613.41997152961</v>
      </c>
      <c r="AC16" s="85"/>
      <c r="AD16" s="58">
        <f t="shared" si="2"/>
        <v>120903.16497152961</v>
      </c>
      <c r="AE16" s="58">
        <f t="shared" si="3"/>
        <v>0</v>
      </c>
      <c r="AF16" s="58">
        <f t="shared" si="9"/>
        <v>710.255</v>
      </c>
      <c r="AG16" s="58">
        <f t="shared" si="10"/>
        <v>120903.16497152961</v>
      </c>
      <c r="AH16" s="55">
        <f>IF(VLOOKUP(A16,'Data &amp; Formulae'!$A$11:$F$91,6,0)="Y",BonusFundProp*AF16*VLOOKUP(YEAR(B16),'Returns &amp; Bonus'!$G$4:$I$15,3,0),0)</f>
        <v>163.35865000000001</v>
      </c>
      <c r="AI16" s="55">
        <f>IF(VLOOKUP(A16,'Data &amp; Formulae'!$A$11:$F$91,6,0)="Y",ClaimFundProp*AF16+AH16,0)</f>
        <v>731.56265000000008</v>
      </c>
      <c r="AJ16" s="55">
        <f t="shared" si="4"/>
        <v>731.56265000000008</v>
      </c>
      <c r="AK16" s="55">
        <f t="shared" si="11"/>
        <v>-21.307650000000081</v>
      </c>
      <c r="AL16" s="60"/>
      <c r="AM16" s="71">
        <f t="shared" si="5"/>
        <v>0</v>
      </c>
      <c r="AN16" s="55">
        <f t="shared" si="12"/>
        <v>0</v>
      </c>
      <c r="AO16" s="60"/>
      <c r="AP16" s="71">
        <f>IF(VLOOKUP(A16,'Data &amp; Formulae'!$A$11:$F$91,6,0)="Y",Scen2Bonus*AF16,0)</f>
        <v>149.15355</v>
      </c>
      <c r="AQ16" s="55">
        <f>IF(VLOOKUP(A16,'Data &amp; Formulae'!$A$11:$F$91,6,0)="Y",ClaimFundProp*AF16+AP16,0)</f>
        <v>717.35755000000006</v>
      </c>
      <c r="AR16" s="55">
        <f t="shared" si="6"/>
        <v>717.35755000000006</v>
      </c>
      <c r="AS16" s="55">
        <f t="shared" si="13"/>
        <v>-7.1025500000000648</v>
      </c>
      <c r="AT16" s="60"/>
      <c r="AU16" s="71">
        <f>IF(VLOOKUP(A16,'Data &amp; Formulae'!$A$11:$F$91,6,0)="Y",SurrPay*AF16,0)</f>
        <v>17.756375000000002</v>
      </c>
      <c r="AV16" s="73"/>
      <c r="AX16" s="4" t="b">
        <f t="shared" si="7"/>
        <v>1</v>
      </c>
      <c r="AY16" s="89">
        <f>(S16/(R16+H16)-1)-VLOOKUP(AY$3,'Returns &amp; Bonus'!$A$5:$B$15,2,0)</f>
        <v>1.1102230246251565E-16</v>
      </c>
      <c r="AZ16" s="89">
        <f>(T16/(S16+I16)-1)-VLOOKUP(AZ$3,'Returns &amp; Bonus'!$A$5:$B$15,2,0)</f>
        <v>0</v>
      </c>
      <c r="BA16" s="89">
        <f>(U16/(T16+J16)-1)-VLOOKUP(BA$3,'Returns &amp; Bonus'!$A$5:$B$15,2,0)</f>
        <v>0</v>
      </c>
      <c r="BB16" s="89">
        <f>(V16/(U16+K16)-1)-VLOOKUP(BB$3,'Returns &amp; Bonus'!$A$5:$B$15,2,0)</f>
        <v>0</v>
      </c>
      <c r="BC16" s="89">
        <f>(W16/(V16+L16)-1)-VLOOKUP(BC$3,'Returns &amp; Bonus'!$A$5:$B$15,2,0)</f>
        <v>0</v>
      </c>
      <c r="BD16" s="89">
        <f>(X16/(W16+M16)-1)-VLOOKUP(BD$3,'Returns &amp; Bonus'!$A$5:$B$15,2,0)</f>
        <v>0</v>
      </c>
      <c r="BE16" s="89">
        <f>(Y16/(X16+N16)-1)-VLOOKUP(BE$3,'Returns &amp; Bonus'!$A$5:$B$15,2,0)</f>
        <v>6.9388939039072284E-17</v>
      </c>
      <c r="BF16" s="89">
        <f>(Z16/(Y16+O16)-1)-VLOOKUP(BF$3,'Returns &amp; Bonus'!$A$5:$B$15,2,0)</f>
        <v>0</v>
      </c>
      <c r="BG16" s="89">
        <f>(AA16/(Z16+P16)-1)-VLOOKUP(BG$3,'Returns &amp; Bonus'!$A$5:$B$15,2,0)</f>
        <v>0</v>
      </c>
      <c r="BH16" s="89">
        <f>(AB16/(AA16+Q16)-1)-VLOOKUP(BH$3,'Returns &amp; Bonus'!$A$5:$B$15,2,0)</f>
        <v>0</v>
      </c>
    </row>
    <row r="17" spans="1:60" x14ac:dyDescent="0.25">
      <c r="A17" s="77">
        <f>'Amended Data'!A17</f>
        <v>14</v>
      </c>
      <c r="B17" s="75">
        <f>'Amended Data'!K17</f>
        <v>40544</v>
      </c>
      <c r="C17" s="55">
        <f>'Amended Data'!J17</f>
        <v>7108</v>
      </c>
      <c r="D17" s="56">
        <f>'Amended Data'!L17</f>
        <v>25</v>
      </c>
      <c r="E17" s="57">
        <f>'Amended Data'!M17</f>
        <v>21483.192499999997</v>
      </c>
      <c r="F17" s="57" t="str">
        <f>'Data &amp; Formulae'!H25</f>
        <v>Y</v>
      </c>
      <c r="G17" s="57">
        <f t="shared" si="8"/>
        <v>0</v>
      </c>
      <c r="H17" s="57">
        <f t="shared" si="1"/>
        <v>7108</v>
      </c>
      <c r="I17" s="57">
        <f t="shared" si="1"/>
        <v>7108</v>
      </c>
      <c r="J17" s="57">
        <f t="shared" si="1"/>
        <v>7108</v>
      </c>
      <c r="K17" s="57">
        <f t="shared" si="1"/>
        <v>7108</v>
      </c>
      <c r="L17" s="57">
        <f t="shared" si="1"/>
        <v>7108</v>
      </c>
      <c r="M17" s="57">
        <f t="shared" si="1"/>
        <v>7108</v>
      </c>
      <c r="N17" s="57">
        <f t="shared" si="1"/>
        <v>7108</v>
      </c>
      <c r="O17" s="57">
        <f t="shared" si="1"/>
        <v>7108</v>
      </c>
      <c r="P17" s="57">
        <f t="shared" si="1"/>
        <v>7108</v>
      </c>
      <c r="Q17" s="57">
        <f t="shared" si="1"/>
        <v>7108</v>
      </c>
      <c r="R17" s="57">
        <f>IF(R$3=2010,G17*(1+VLOOKUP(R$3,'Returns &amp; Bonus'!$A$5:$B$15,2,0)),(G17+Q17)*(1+VLOOKUP(R$3,'Returns &amp; Bonus'!$A$5:$B$15,2,0)))</f>
        <v>0</v>
      </c>
      <c r="S17" s="57">
        <f>IF(S$3=2010,H17*(1+VLOOKUP(S$3,'Returns &amp; Bonus'!$A$5:$B$15,2,0)),(H17+R17)*(1+VLOOKUP(S$3,'Returns &amp; Bonus'!$A$5:$B$15,2,0)))</f>
        <v>7960.9600000000009</v>
      </c>
      <c r="T17" s="57">
        <f>IF(T$3=2010,I17*(1+VLOOKUP(T$3,'Returns &amp; Bonus'!$A$5:$B$15,2,0)),(I17+S17)*(1+VLOOKUP(T$3,'Returns &amp; Bonus'!$A$5:$B$15,2,0)))</f>
        <v>18082.752</v>
      </c>
      <c r="U17" s="57">
        <f>IF(U$3=2010,J17*(1+VLOOKUP(U$3,'Returns &amp; Bonus'!$A$5:$B$15,2,0)),(J17+T17)*(1+VLOOKUP(U$3,'Returns &amp; Bonus'!$A$5:$B$15,2,0)))</f>
        <v>31236.532480000002</v>
      </c>
      <c r="V17" s="57">
        <f>IF(V$3=2010,K17*(1+VLOOKUP(V$3,'Returns &amp; Bonus'!$A$5:$B$15,2,0)),(K17+U17)*(1+VLOOKUP(V$3,'Returns &amp; Bonus'!$A$5:$B$15,2,0)))</f>
        <v>37961.087155200003</v>
      </c>
      <c r="W17" s="57">
        <f>IF(W$3=2010,L17*(1+VLOOKUP(W$3,'Returns &amp; Bonus'!$A$5:$B$15,2,0)),(L17+V17)*(1+VLOOKUP(W$3,'Returns &amp; Bonus'!$A$5:$B$15,2,0)))</f>
        <v>58139.122430208008</v>
      </c>
      <c r="X17" s="57">
        <f>IF(X$3=2010,M17*(1+VLOOKUP(X$3,'Returns &amp; Bonus'!$A$5:$B$15,2,0)),(M17+W17)*(1+VLOOKUP(X$3,'Returns &amp; Bonus'!$A$5:$B$15,2,0)))</f>
        <v>63942.179981603847</v>
      </c>
      <c r="Y17" s="57">
        <f>IF(Y$3=2010,N17*(1+VLOOKUP(Y$3,'Returns &amp; Bonus'!$A$5:$B$15,2,0)),(N17+X17)*(1+VLOOKUP(Y$3,'Returns &amp; Bonus'!$A$5:$B$15,2,0)))</f>
        <v>67497.670982523647</v>
      </c>
      <c r="Z17" s="57">
        <f>IF(Z$3=2010,O17*(1+VLOOKUP(Z$3,'Returns &amp; Bonus'!$A$5:$B$15,2,0)),(O17+Y17)*(1+VLOOKUP(Z$3,'Returns &amp; Bonus'!$A$5:$B$15,2,0)))</f>
        <v>84304.408210251713</v>
      </c>
      <c r="AA17" s="57">
        <f>IF(AA$3=2010,P17*(1+VLOOKUP(AA$3,'Returns &amp; Bonus'!$A$5:$B$15,2,0)),(P17+Z17)*(1+VLOOKUP(AA$3,'Returns &amp; Bonus'!$A$5:$B$15,2,0)))</f>
        <v>101467.77311337942</v>
      </c>
      <c r="AB17" s="81">
        <f>IF(AB$3=2010,Q17*(1+VLOOKUP(AB$3,'Returns &amp; Bonus'!$A$5:$B$15,2,0)),(Q17+AA17)*(1+VLOOKUP(AB$3,'Returns &amp; Bonus'!$A$5:$B$15,2,0)))</f>
        <v>106404.25765111182</v>
      </c>
      <c r="AC17" s="85"/>
      <c r="AD17" s="58">
        <f t="shared" si="2"/>
        <v>84921.065151111834</v>
      </c>
      <c r="AE17" s="58">
        <f t="shared" si="3"/>
        <v>0</v>
      </c>
      <c r="AF17" s="58">
        <f t="shared" si="9"/>
        <v>21483.192499999997</v>
      </c>
      <c r="AG17" s="58">
        <f t="shared" si="10"/>
        <v>84921.065151111834</v>
      </c>
      <c r="AH17" s="55">
        <f>IF(VLOOKUP(A17,'Data &amp; Formulae'!$A$11:$F$91,6,0)="Y",BonusFundProp*AF17*VLOOKUP(YEAR(B17),'Returns &amp; Bonus'!$G$4:$I$15,3,0),0)</f>
        <v>4941.1342749999994</v>
      </c>
      <c r="AI17" s="55">
        <f>IF(VLOOKUP(A17,'Data &amp; Formulae'!$A$11:$F$91,6,0)="Y",ClaimFundProp*AF17+AH17,0)</f>
        <v>22127.688275</v>
      </c>
      <c r="AJ17" s="55">
        <f t="shared" si="4"/>
        <v>22127.688275</v>
      </c>
      <c r="AK17" s="55">
        <f t="shared" si="11"/>
        <v>-644.49577500000305</v>
      </c>
      <c r="AL17" s="60"/>
      <c r="AM17" s="71">
        <f t="shared" si="5"/>
        <v>22127.688275</v>
      </c>
      <c r="AN17" s="55">
        <f t="shared" si="12"/>
        <v>-644.49577500000305</v>
      </c>
      <c r="AO17" s="60"/>
      <c r="AP17" s="71">
        <f>IF(VLOOKUP(A17,'Data &amp; Formulae'!$A$11:$F$91,6,0)="Y",Scen2Bonus*AF17,0)</f>
        <v>4511.4704249999995</v>
      </c>
      <c r="AQ17" s="55">
        <f>IF(VLOOKUP(A17,'Data &amp; Formulae'!$A$11:$F$91,6,0)="Y",ClaimFundProp*AF17+AP17,0)</f>
        <v>21698.024425</v>
      </c>
      <c r="AR17" s="55">
        <f t="shared" si="6"/>
        <v>21698.024425</v>
      </c>
      <c r="AS17" s="55">
        <f t="shared" si="13"/>
        <v>-214.83192500000223</v>
      </c>
      <c r="AT17" s="60"/>
      <c r="AU17" s="71">
        <f>IF(VLOOKUP(A17,'Data &amp; Formulae'!$A$11:$F$91,6,0)="Y",SurrPay*AF17,0)</f>
        <v>537.0798125</v>
      </c>
      <c r="AV17" s="73"/>
      <c r="AX17" s="4" t="b">
        <f t="shared" si="7"/>
        <v>1</v>
      </c>
      <c r="AY17" s="89">
        <f>(S17/(R17+H17)-1)-VLOOKUP(AY$3,'Returns &amp; Bonus'!$A$5:$B$15,2,0)</f>
        <v>1.1102230246251565E-16</v>
      </c>
      <c r="AZ17" s="89">
        <f>(T17/(S17+I17)-1)-VLOOKUP(AZ$3,'Returns &amp; Bonus'!$A$5:$B$15,2,0)</f>
        <v>0</v>
      </c>
      <c r="BA17" s="89">
        <f>(U17/(T17+J17)-1)-VLOOKUP(BA$3,'Returns &amp; Bonus'!$A$5:$B$15,2,0)</f>
        <v>0</v>
      </c>
      <c r="BB17" s="89">
        <f>(V17/(U17+K17)-1)-VLOOKUP(BB$3,'Returns &amp; Bonus'!$A$5:$B$15,2,0)</f>
        <v>0</v>
      </c>
      <c r="BC17" s="89">
        <f>(W17/(V17+L17)-1)-VLOOKUP(BC$3,'Returns &amp; Bonus'!$A$5:$B$15,2,0)</f>
        <v>0</v>
      </c>
      <c r="BD17" s="89">
        <f>(X17/(W17+M17)-1)-VLOOKUP(BD$3,'Returns &amp; Bonus'!$A$5:$B$15,2,0)</f>
        <v>0</v>
      </c>
      <c r="BE17" s="89">
        <f>(Y17/(X17+N17)-1)-VLOOKUP(BE$3,'Returns &amp; Bonus'!$A$5:$B$15,2,0)</f>
        <v>0</v>
      </c>
      <c r="BF17" s="89">
        <f>(Z17/(Y17+O17)-1)-VLOOKUP(BF$3,'Returns &amp; Bonus'!$A$5:$B$15,2,0)</f>
        <v>0</v>
      </c>
      <c r="BG17" s="89">
        <f>(AA17/(Z17+P17)-1)-VLOOKUP(BG$3,'Returns &amp; Bonus'!$A$5:$B$15,2,0)</f>
        <v>0</v>
      </c>
      <c r="BH17" s="89">
        <f>(AB17/(AA17+Q17)-1)-VLOOKUP(BH$3,'Returns &amp; Bonus'!$A$5:$B$15,2,0)</f>
        <v>0</v>
      </c>
    </row>
    <row r="18" spans="1:60" x14ac:dyDescent="0.25">
      <c r="A18" s="77">
        <f>'Amended Data'!A18</f>
        <v>15</v>
      </c>
      <c r="B18" s="75">
        <f>'Amended Data'!K18</f>
        <v>40544</v>
      </c>
      <c r="C18" s="55">
        <f>'Amended Data'!J18</f>
        <v>9533</v>
      </c>
      <c r="D18" s="56">
        <f>'Amended Data'!L18</f>
        <v>18</v>
      </c>
      <c r="E18" s="57">
        <f>'Amended Data'!M18</f>
        <v>20504.785</v>
      </c>
      <c r="F18" s="57" t="str">
        <f>'Data &amp; Formulae'!H26</f>
        <v>Y</v>
      </c>
      <c r="G18" s="57">
        <f t="shared" si="8"/>
        <v>0</v>
      </c>
      <c r="H18" s="57">
        <f t="shared" si="1"/>
        <v>9533</v>
      </c>
      <c r="I18" s="57">
        <f t="shared" si="1"/>
        <v>9533</v>
      </c>
      <c r="J18" s="57">
        <f t="shared" si="1"/>
        <v>9533</v>
      </c>
      <c r="K18" s="57">
        <f t="shared" si="1"/>
        <v>9533</v>
      </c>
      <c r="L18" s="57">
        <f t="shared" si="1"/>
        <v>9533</v>
      </c>
      <c r="M18" s="57">
        <f t="shared" si="1"/>
        <v>9533</v>
      </c>
      <c r="N18" s="57">
        <f t="shared" si="1"/>
        <v>9533</v>
      </c>
      <c r="O18" s="57">
        <f t="shared" si="1"/>
        <v>9533</v>
      </c>
      <c r="P18" s="57">
        <f t="shared" si="1"/>
        <v>9533</v>
      </c>
      <c r="Q18" s="57">
        <f t="shared" si="1"/>
        <v>9533</v>
      </c>
      <c r="R18" s="57">
        <f>IF(R$3=2010,G18*(1+VLOOKUP(R$3,'Returns &amp; Bonus'!$A$5:$B$15,2,0)),(G18+Q18)*(1+VLOOKUP(R$3,'Returns &amp; Bonus'!$A$5:$B$15,2,0)))</f>
        <v>0</v>
      </c>
      <c r="S18" s="57">
        <f>IF(S$3=2010,H18*(1+VLOOKUP(S$3,'Returns &amp; Bonus'!$A$5:$B$15,2,0)),(H18+R18)*(1+VLOOKUP(S$3,'Returns &amp; Bonus'!$A$5:$B$15,2,0)))</f>
        <v>10676.960000000001</v>
      </c>
      <c r="T18" s="57">
        <f>IF(T$3=2010,I18*(1+VLOOKUP(T$3,'Returns &amp; Bonus'!$A$5:$B$15,2,0)),(I18+S18)*(1+VLOOKUP(T$3,'Returns &amp; Bonus'!$A$5:$B$15,2,0)))</f>
        <v>24251.951999999997</v>
      </c>
      <c r="U18" s="57">
        <f>IF(U$3=2010,J18*(1+VLOOKUP(U$3,'Returns &amp; Bonus'!$A$5:$B$15,2,0)),(J18+T18)*(1+VLOOKUP(U$3,'Returns &amp; Bonus'!$A$5:$B$15,2,0)))</f>
        <v>41893.340479999999</v>
      </c>
      <c r="V18" s="57">
        <f>IF(V$3=2010,K18*(1+VLOOKUP(V$3,'Returns &amp; Bonus'!$A$5:$B$15,2,0)),(K18+U18)*(1+VLOOKUP(V$3,'Returns &amp; Bonus'!$A$5:$B$15,2,0)))</f>
        <v>50912.077075199995</v>
      </c>
      <c r="W18" s="57">
        <f>IF(W$3=2010,L18*(1+VLOOKUP(W$3,'Returns &amp; Bonus'!$A$5:$B$15,2,0)),(L18+V18)*(1+VLOOKUP(W$3,'Returns &amp; Bonus'!$A$5:$B$15,2,0)))</f>
        <v>77974.149427008</v>
      </c>
      <c r="X18" s="57">
        <f>IF(X$3=2010,M18*(1+VLOOKUP(X$3,'Returns &amp; Bonus'!$A$5:$B$15,2,0)),(M18+W18)*(1+VLOOKUP(X$3,'Returns &amp; Bonus'!$A$5:$B$15,2,0)))</f>
        <v>85757.006438467841</v>
      </c>
      <c r="Y18" s="57">
        <f>IF(Y$3=2010,N18*(1+VLOOKUP(Y$3,'Returns &amp; Bonus'!$A$5:$B$15,2,0)),(N18+X18)*(1+VLOOKUP(Y$3,'Returns &amp; Bonus'!$A$5:$B$15,2,0)))</f>
        <v>90525.506116544449</v>
      </c>
      <c r="Z18" s="57">
        <f>IF(Z$3=2010,O18*(1+VLOOKUP(Z$3,'Returns &amp; Bonus'!$A$5:$B$15,2,0)),(O18+Y18)*(1+VLOOKUP(Z$3,'Returns &amp; Bonus'!$A$5:$B$15,2,0)))</f>
        <v>113066.11191169522</v>
      </c>
      <c r="AA18" s="57">
        <f>IF(AA$3=2010,P18*(1+VLOOKUP(AA$3,'Returns &amp; Bonus'!$A$5:$B$15,2,0)),(P18+Z18)*(1+VLOOKUP(AA$3,'Returns &amp; Bonus'!$A$5:$B$15,2,0)))</f>
        <v>136085.01422198169</v>
      </c>
      <c r="AB18" s="81">
        <f>IF(AB$3=2010,Q18*(1+VLOOKUP(AB$3,'Returns &amp; Bonus'!$A$5:$B$15,2,0)),(Q18+AA18)*(1+VLOOKUP(AB$3,'Returns &amp; Bonus'!$A$5:$B$15,2,0)))</f>
        <v>142705.65393754205</v>
      </c>
      <c r="AC18" s="85"/>
      <c r="AD18" s="58">
        <f t="shared" si="2"/>
        <v>122200.86893754205</v>
      </c>
      <c r="AE18" s="58">
        <f t="shared" si="3"/>
        <v>0</v>
      </c>
      <c r="AF18" s="58">
        <f t="shared" si="9"/>
        <v>20504.785</v>
      </c>
      <c r="AG18" s="58">
        <f t="shared" si="10"/>
        <v>122200.86893754205</v>
      </c>
      <c r="AH18" s="55">
        <f>IF(VLOOKUP(A18,'Data &amp; Formulae'!$A$11:$F$91,6,0)="Y",BonusFundProp*AF18*VLOOKUP(YEAR(B18),'Returns &amp; Bonus'!$G$4:$I$15,3,0),0)</f>
        <v>4716.1005500000001</v>
      </c>
      <c r="AI18" s="55">
        <f>IF(VLOOKUP(A18,'Data &amp; Formulae'!$A$11:$F$91,6,0)="Y",ClaimFundProp*AF18+AH18,0)</f>
        <v>21119.928550000001</v>
      </c>
      <c r="AJ18" s="55">
        <f t="shared" si="4"/>
        <v>21119.928550000001</v>
      </c>
      <c r="AK18" s="55">
        <f t="shared" si="11"/>
        <v>-615.14355000000069</v>
      </c>
      <c r="AL18" s="60"/>
      <c r="AM18" s="71">
        <f t="shared" si="5"/>
        <v>21119.928550000001</v>
      </c>
      <c r="AN18" s="55">
        <f t="shared" si="12"/>
        <v>-615.14355000000069</v>
      </c>
      <c r="AO18" s="60"/>
      <c r="AP18" s="71">
        <f>IF(VLOOKUP(A18,'Data &amp; Formulae'!$A$11:$F$91,6,0)="Y",Scen2Bonus*AF18,0)</f>
        <v>4306.0048500000003</v>
      </c>
      <c r="AQ18" s="55">
        <f>IF(VLOOKUP(A18,'Data &amp; Formulae'!$A$11:$F$91,6,0)="Y",ClaimFundProp*AF18+AP18,0)</f>
        <v>20709.832850000003</v>
      </c>
      <c r="AR18" s="55">
        <f t="shared" si="6"/>
        <v>20709.832850000003</v>
      </c>
      <c r="AS18" s="55">
        <f t="shared" si="13"/>
        <v>-205.04785000000265</v>
      </c>
      <c r="AT18" s="60"/>
      <c r="AU18" s="71">
        <f>IF(VLOOKUP(A18,'Data &amp; Formulae'!$A$11:$F$91,6,0)="Y",SurrPay*AF18,0)</f>
        <v>512.61962500000004</v>
      </c>
      <c r="AV18" s="73"/>
      <c r="AX18" s="4" t="b">
        <f t="shared" si="7"/>
        <v>1</v>
      </c>
      <c r="AY18" s="89">
        <f>(S18/(R18+H18)-1)-VLOOKUP(AY$3,'Returns &amp; Bonus'!$A$5:$B$15,2,0)</f>
        <v>1.1102230246251565E-16</v>
      </c>
      <c r="AZ18" s="89">
        <f>(T18/(S18+I18)-1)-VLOOKUP(AZ$3,'Returns &amp; Bonus'!$A$5:$B$15,2,0)</f>
        <v>0</v>
      </c>
      <c r="BA18" s="89">
        <f>(U18/(T18+J18)-1)-VLOOKUP(BA$3,'Returns &amp; Bonus'!$A$5:$B$15,2,0)</f>
        <v>0</v>
      </c>
      <c r="BB18" s="89">
        <f>(V18/(U18+K18)-1)-VLOOKUP(BB$3,'Returns &amp; Bonus'!$A$5:$B$15,2,0)</f>
        <v>-1.1969591984239969E-16</v>
      </c>
      <c r="BC18" s="89">
        <f>(W18/(V18+L18)-1)-VLOOKUP(BC$3,'Returns &amp; Bonus'!$A$5:$B$15,2,0)</f>
        <v>0</v>
      </c>
      <c r="BD18" s="89">
        <f>(X18/(W18+M18)-1)-VLOOKUP(BD$3,'Returns &amp; Bonus'!$A$5:$B$15,2,0)</f>
        <v>0</v>
      </c>
      <c r="BE18" s="89">
        <f>(Y18/(X18+N18)-1)-VLOOKUP(BE$3,'Returns &amp; Bonus'!$A$5:$B$15,2,0)</f>
        <v>0</v>
      </c>
      <c r="BF18" s="89">
        <f>(Z18/(Y18+O18)-1)-VLOOKUP(BF$3,'Returns &amp; Bonus'!$A$5:$B$15,2,0)</f>
        <v>0</v>
      </c>
      <c r="BG18" s="89">
        <f>(AA18/(Z18+P18)-1)-VLOOKUP(BG$3,'Returns &amp; Bonus'!$A$5:$B$15,2,0)</f>
        <v>0</v>
      </c>
      <c r="BH18" s="89">
        <f>(AB18/(AA18+Q18)-1)-VLOOKUP(BH$3,'Returns &amp; Bonus'!$A$5:$B$15,2,0)</f>
        <v>0</v>
      </c>
    </row>
    <row r="19" spans="1:60" x14ac:dyDescent="0.25">
      <c r="A19" s="77">
        <f>'Amended Data'!A19</f>
        <v>16</v>
      </c>
      <c r="B19" s="75">
        <f>'Amended Data'!K19</f>
        <v>40544</v>
      </c>
      <c r="C19" s="55">
        <f>'Amended Data'!J19</f>
        <v>8636</v>
      </c>
      <c r="D19" s="56">
        <f>'Amended Data'!L19</f>
        <v>13</v>
      </c>
      <c r="E19" s="57">
        <f>'Amended Data'!M19</f>
        <v>13460.789999999997</v>
      </c>
      <c r="F19" s="57" t="str">
        <f>'Data &amp; Formulae'!H27</f>
        <v>Y</v>
      </c>
      <c r="G19" s="57">
        <f t="shared" si="8"/>
        <v>0</v>
      </c>
      <c r="H19" s="57">
        <f t="shared" si="1"/>
        <v>8636</v>
      </c>
      <c r="I19" s="57">
        <f t="shared" si="1"/>
        <v>8636</v>
      </c>
      <c r="J19" s="57">
        <f t="shared" si="1"/>
        <v>8636</v>
      </c>
      <c r="K19" s="57">
        <f t="shared" si="1"/>
        <v>8636</v>
      </c>
      <c r="L19" s="57">
        <f t="shared" si="1"/>
        <v>8636</v>
      </c>
      <c r="M19" s="57">
        <f t="shared" si="1"/>
        <v>8636</v>
      </c>
      <c r="N19" s="57">
        <f t="shared" si="1"/>
        <v>8636</v>
      </c>
      <c r="O19" s="57">
        <f t="shared" si="1"/>
        <v>8636</v>
      </c>
      <c r="P19" s="57">
        <f t="shared" si="1"/>
        <v>8636</v>
      </c>
      <c r="Q19" s="57">
        <f t="shared" si="1"/>
        <v>8636</v>
      </c>
      <c r="R19" s="57">
        <f>IF(R$3=2010,G19*(1+VLOOKUP(R$3,'Returns &amp; Bonus'!$A$5:$B$15,2,0)),(G19+Q19)*(1+VLOOKUP(R$3,'Returns &amp; Bonus'!$A$5:$B$15,2,0)))</f>
        <v>0</v>
      </c>
      <c r="S19" s="57">
        <f>IF(S$3=2010,H19*(1+VLOOKUP(S$3,'Returns &amp; Bonus'!$A$5:$B$15,2,0)),(H19+R19)*(1+VLOOKUP(S$3,'Returns &amp; Bonus'!$A$5:$B$15,2,0)))</f>
        <v>9672.3200000000015</v>
      </c>
      <c r="T19" s="57">
        <f>IF(T$3=2010,I19*(1+VLOOKUP(T$3,'Returns &amp; Bonus'!$A$5:$B$15,2,0)),(I19+S19)*(1+VLOOKUP(T$3,'Returns &amp; Bonus'!$A$5:$B$15,2,0)))</f>
        <v>21969.984</v>
      </c>
      <c r="U19" s="57">
        <f>IF(U$3=2010,J19*(1+VLOOKUP(U$3,'Returns &amp; Bonus'!$A$5:$B$15,2,0)),(J19+T19)*(1+VLOOKUP(U$3,'Returns &amp; Bonus'!$A$5:$B$15,2,0)))</f>
        <v>37951.420160000001</v>
      </c>
      <c r="V19" s="57">
        <f>IF(V$3=2010,K19*(1+VLOOKUP(V$3,'Returns &amp; Bonus'!$A$5:$B$15,2,0)),(K19+U19)*(1+VLOOKUP(V$3,'Returns &amp; Bonus'!$A$5:$B$15,2,0)))</f>
        <v>46121.545958399998</v>
      </c>
      <c r="W19" s="57">
        <f>IF(W$3=2010,L19*(1+VLOOKUP(W$3,'Returns &amp; Bonus'!$A$5:$B$15,2,0)),(L19+V19)*(1+VLOOKUP(W$3,'Returns &amp; Bonus'!$A$5:$B$15,2,0)))</f>
        <v>70637.234286335995</v>
      </c>
      <c r="X19" s="57">
        <f>IF(X$3=2010,M19*(1+VLOOKUP(X$3,'Returns &amp; Bonus'!$A$5:$B$15,2,0)),(M19+W19)*(1+VLOOKUP(X$3,'Returns &amp; Bonus'!$A$5:$B$15,2,0)))</f>
        <v>77687.769600609274</v>
      </c>
      <c r="Y19" s="57">
        <f>IF(Y$3=2010,N19*(1+VLOOKUP(Y$3,'Returns &amp; Bonus'!$A$5:$B$15,2,0)),(N19+X19)*(1+VLOOKUP(Y$3,'Returns &amp; Bonus'!$A$5:$B$15,2,0)))</f>
        <v>82007.581120578805</v>
      </c>
      <c r="Z19" s="57">
        <f>IF(Z$3=2010,O19*(1+VLOOKUP(Z$3,'Returns &amp; Bonus'!$A$5:$B$15,2,0)),(O19+Y19)*(1+VLOOKUP(Z$3,'Returns &amp; Bonus'!$A$5:$B$15,2,0)))</f>
        <v>102427.24666625404</v>
      </c>
      <c r="AA19" s="57">
        <f>IF(AA$3=2010,P19*(1+VLOOKUP(AA$3,'Returns &amp; Bonus'!$A$5:$B$15,2,0)),(P19+Z19)*(1+VLOOKUP(AA$3,'Returns &amp; Bonus'!$A$5:$B$15,2,0)))</f>
        <v>123280.203799542</v>
      </c>
      <c r="AB19" s="81">
        <f>IF(AB$3=2010,Q19*(1+VLOOKUP(AB$3,'Returns &amp; Bonus'!$A$5:$B$15,2,0)),(Q19+AA19)*(1+VLOOKUP(AB$3,'Returns &amp; Bonus'!$A$5:$B$15,2,0)))</f>
        <v>129277.87972355114</v>
      </c>
      <c r="AC19" s="85"/>
      <c r="AD19" s="58">
        <f t="shared" si="2"/>
        <v>115817.08972355115</v>
      </c>
      <c r="AE19" s="58">
        <f t="shared" si="3"/>
        <v>0</v>
      </c>
      <c r="AF19" s="58">
        <f t="shared" si="9"/>
        <v>13460.789999999997</v>
      </c>
      <c r="AG19" s="58">
        <f t="shared" si="10"/>
        <v>115817.08972355115</v>
      </c>
      <c r="AH19" s="55">
        <f>IF(VLOOKUP(A19,'Data &amp; Formulae'!$A$11:$F$91,6,0)="Y",BonusFundProp*AF19*VLOOKUP(YEAR(B19),'Returns &amp; Bonus'!$G$4:$I$15,3,0),0)</f>
        <v>3095.9816999999989</v>
      </c>
      <c r="AI19" s="55">
        <f>IF(VLOOKUP(A19,'Data &amp; Formulae'!$A$11:$F$91,6,0)="Y",ClaimFundProp*AF19+AH19,0)</f>
        <v>13864.613699999996</v>
      </c>
      <c r="AJ19" s="55">
        <f t="shared" si="4"/>
        <v>13864.613699999996</v>
      </c>
      <c r="AK19" s="55">
        <f t="shared" si="11"/>
        <v>-403.82369999999901</v>
      </c>
      <c r="AL19" s="60"/>
      <c r="AM19" s="71">
        <f t="shared" si="5"/>
        <v>0</v>
      </c>
      <c r="AN19" s="55">
        <f t="shared" si="12"/>
        <v>0</v>
      </c>
      <c r="AO19" s="60"/>
      <c r="AP19" s="71">
        <f>IF(VLOOKUP(A19,'Data &amp; Formulae'!$A$11:$F$91,6,0)="Y",Scen2Bonus*AF19,0)</f>
        <v>2826.7658999999994</v>
      </c>
      <c r="AQ19" s="55">
        <f>IF(VLOOKUP(A19,'Data &amp; Formulae'!$A$11:$F$91,6,0)="Y",ClaimFundProp*AF19+AP19,0)</f>
        <v>13595.397899999996</v>
      </c>
      <c r="AR19" s="55">
        <f t="shared" si="6"/>
        <v>13595.397899999996</v>
      </c>
      <c r="AS19" s="55">
        <f t="shared" si="13"/>
        <v>-134.60789999999906</v>
      </c>
      <c r="AT19" s="60"/>
      <c r="AU19" s="71">
        <f>IF(VLOOKUP(A19,'Data &amp; Formulae'!$A$11:$F$91,6,0)="Y",SurrPay*AF19,0)</f>
        <v>336.51974999999993</v>
      </c>
      <c r="AV19" s="73"/>
      <c r="AX19" s="4" t="b">
        <f t="shared" si="7"/>
        <v>1</v>
      </c>
      <c r="AY19" s="89">
        <f>(S19/(R19+H19)-1)-VLOOKUP(AY$3,'Returns &amp; Bonus'!$A$5:$B$15,2,0)</f>
        <v>1.1102230246251565E-16</v>
      </c>
      <c r="AZ19" s="89">
        <f>(T19/(S19+I19)-1)-VLOOKUP(AZ$3,'Returns &amp; Bonus'!$A$5:$B$15,2,0)</f>
        <v>0</v>
      </c>
      <c r="BA19" s="89">
        <f>(U19/(T19+J19)-1)-VLOOKUP(BA$3,'Returns &amp; Bonus'!$A$5:$B$15,2,0)</f>
        <v>0</v>
      </c>
      <c r="BB19" s="89">
        <f>(V19/(U19+K19)-1)-VLOOKUP(BB$3,'Returns &amp; Bonus'!$A$5:$B$15,2,0)</f>
        <v>-1.1969591984239969E-16</v>
      </c>
      <c r="BC19" s="89">
        <f>(W19/(V19+L19)-1)-VLOOKUP(BC$3,'Returns &amp; Bonus'!$A$5:$B$15,2,0)</f>
        <v>0</v>
      </c>
      <c r="BD19" s="89">
        <f>(X19/(W19+M19)-1)-VLOOKUP(BD$3,'Returns &amp; Bonus'!$A$5:$B$15,2,0)</f>
        <v>0</v>
      </c>
      <c r="BE19" s="89">
        <f>(Y19/(X19+N19)-1)-VLOOKUP(BE$3,'Returns &amp; Bonus'!$A$5:$B$15,2,0)</f>
        <v>0</v>
      </c>
      <c r="BF19" s="89">
        <f>(Z19/(Y19+O19)-1)-VLOOKUP(BF$3,'Returns &amp; Bonus'!$A$5:$B$15,2,0)</f>
        <v>0</v>
      </c>
      <c r="BG19" s="89">
        <f>(AA19/(Z19+P19)-1)-VLOOKUP(BG$3,'Returns &amp; Bonus'!$A$5:$B$15,2,0)</f>
        <v>0</v>
      </c>
      <c r="BH19" s="89">
        <f>(AB19/(AA19+Q19)-1)-VLOOKUP(BH$3,'Returns &amp; Bonus'!$A$5:$B$15,2,0)</f>
        <v>0</v>
      </c>
    </row>
    <row r="20" spans="1:60" x14ac:dyDescent="0.25">
      <c r="A20" s="77">
        <f>'Amended Data'!A20</f>
        <v>17</v>
      </c>
      <c r="B20" s="75">
        <f>'Amended Data'!K20</f>
        <v>40909</v>
      </c>
      <c r="C20" s="55">
        <f>'Amended Data'!J20</f>
        <v>280</v>
      </c>
      <c r="D20" s="56">
        <f>'Amended Data'!L20</f>
        <v>30</v>
      </c>
      <c r="E20" s="57">
        <f>'Amended Data'!M20</f>
        <v>3509.5066178488787</v>
      </c>
      <c r="F20" s="57" t="str">
        <f>'Data &amp; Formulae'!H28</f>
        <v>N</v>
      </c>
      <c r="G20" s="57">
        <f t="shared" si="8"/>
        <v>0</v>
      </c>
      <c r="H20" s="57">
        <f t="shared" si="8"/>
        <v>0</v>
      </c>
      <c r="I20" s="57">
        <f t="shared" si="8"/>
        <v>280</v>
      </c>
      <c r="J20" s="57">
        <f t="shared" si="8"/>
        <v>280</v>
      </c>
      <c r="K20" s="57">
        <f t="shared" si="8"/>
        <v>280</v>
      </c>
      <c r="L20" s="57">
        <f t="shared" si="8"/>
        <v>280</v>
      </c>
      <c r="M20" s="57">
        <f t="shared" si="8"/>
        <v>280</v>
      </c>
      <c r="N20" s="57">
        <f t="shared" si="8"/>
        <v>280</v>
      </c>
      <c r="O20" s="57">
        <f t="shared" si="8"/>
        <v>280</v>
      </c>
      <c r="P20" s="57">
        <f t="shared" si="8"/>
        <v>280</v>
      </c>
      <c r="Q20" s="57">
        <f t="shared" si="8"/>
        <v>280</v>
      </c>
      <c r="R20" s="57">
        <f>IF(R$3=2010,G20*(1+VLOOKUP(R$3,'Returns &amp; Bonus'!$A$5:$B$15,2,0)),(G20+Q20)*(1+VLOOKUP(R$3,'Returns &amp; Bonus'!$A$5:$B$15,2,0)))</f>
        <v>0</v>
      </c>
      <c r="S20" s="57">
        <f>IF(S$3=2010,H20*(1+VLOOKUP(S$3,'Returns &amp; Bonus'!$A$5:$B$15,2,0)),(H20+R20)*(1+VLOOKUP(S$3,'Returns &amp; Bonus'!$A$5:$B$15,2,0)))</f>
        <v>0</v>
      </c>
      <c r="T20" s="57">
        <f>IF(T$3=2010,I20*(1+VLOOKUP(T$3,'Returns &amp; Bonus'!$A$5:$B$15,2,0)),(I20+S20)*(1+VLOOKUP(T$3,'Returns &amp; Bonus'!$A$5:$B$15,2,0)))</f>
        <v>336</v>
      </c>
      <c r="U20" s="57">
        <f>IF(U$3=2010,J20*(1+VLOOKUP(U$3,'Returns &amp; Bonus'!$A$5:$B$15,2,0)),(J20+T20)*(1+VLOOKUP(U$3,'Returns &amp; Bonus'!$A$5:$B$15,2,0)))</f>
        <v>763.84</v>
      </c>
      <c r="V20" s="57">
        <f>IF(V$3=2010,K20*(1+VLOOKUP(V$3,'Returns &amp; Bonus'!$A$5:$B$15,2,0)),(K20+U20)*(1+VLOOKUP(V$3,'Returns &amp; Bonus'!$A$5:$B$15,2,0)))</f>
        <v>1033.4016000000001</v>
      </c>
      <c r="W20" s="57">
        <f>IF(W$3=2010,L20*(1+VLOOKUP(W$3,'Returns &amp; Bonus'!$A$5:$B$15,2,0)),(L20+V20)*(1+VLOOKUP(W$3,'Returns &amp; Bonus'!$A$5:$B$15,2,0)))</f>
        <v>1694.2880640000003</v>
      </c>
      <c r="X20" s="57">
        <f>IF(X$3=2010,M20*(1+VLOOKUP(X$3,'Returns &amp; Bonus'!$A$5:$B$15,2,0)),(M20+W20)*(1+VLOOKUP(X$3,'Returns &amp; Bonus'!$A$5:$B$15,2,0)))</f>
        <v>1934.8023027200002</v>
      </c>
      <c r="Y20" s="57">
        <f>IF(Y$3=2010,N20*(1+VLOOKUP(Y$3,'Returns &amp; Bonus'!$A$5:$B$15,2,0)),(N20+X20)*(1+VLOOKUP(Y$3,'Returns &amp; Bonus'!$A$5:$B$15,2,0)))</f>
        <v>2104.0621875840002</v>
      </c>
      <c r="Z20" s="57">
        <f>IF(Z$3=2010,O20*(1+VLOOKUP(Z$3,'Returns &amp; Bonus'!$A$5:$B$15,2,0)),(O20+Y20)*(1+VLOOKUP(Z$3,'Returns &amp; Bonus'!$A$5:$B$15,2,0)))</f>
        <v>2693.9902719699198</v>
      </c>
      <c r="AA20" s="57">
        <f>IF(AA$3=2010,P20*(1+VLOOKUP(AA$3,'Returns &amp; Bonus'!$A$5:$B$15,2,0)),(P20+Z20)*(1+VLOOKUP(AA$3,'Returns &amp; Bonus'!$A$5:$B$15,2,0)))</f>
        <v>3301.1292018866111</v>
      </c>
      <c r="AB20" s="81">
        <f>IF(AB$3=2010,Q20*(1+VLOOKUP(AB$3,'Returns &amp; Bonus'!$A$5:$B$15,2,0)),(Q20+AA20)*(1+VLOOKUP(AB$3,'Returns &amp; Bonus'!$A$5:$B$15,2,0)))</f>
        <v>3509.5066178488787</v>
      </c>
      <c r="AC20" s="85"/>
      <c r="AD20" s="58">
        <f t="shared" si="2"/>
        <v>0</v>
      </c>
      <c r="AE20" s="58">
        <f t="shared" si="3"/>
        <v>0</v>
      </c>
      <c r="AF20" s="58">
        <f t="shared" si="9"/>
        <v>3509.5066178488787</v>
      </c>
      <c r="AG20" s="58">
        <f t="shared" si="10"/>
        <v>0</v>
      </c>
      <c r="AH20" s="55">
        <f>IF(VLOOKUP(A20,'Data &amp; Formulae'!$A$11:$F$91,6,0)="Y",BonusFundProp*AF20*VLOOKUP(YEAR(B20),'Returns &amp; Bonus'!$G$4:$I$15,3,0),0)</f>
        <v>0</v>
      </c>
      <c r="AI20" s="55">
        <f>IF(VLOOKUP(A20,'Data &amp; Formulae'!$A$11:$F$91,6,0)="Y",ClaimFundProp*AF20+AH20,0)</f>
        <v>0</v>
      </c>
      <c r="AJ20" s="55">
        <f t="shared" si="4"/>
        <v>0</v>
      </c>
      <c r="AK20" s="55">
        <f t="shared" si="11"/>
        <v>0</v>
      </c>
      <c r="AL20" s="60"/>
      <c r="AM20" s="71">
        <f t="shared" si="5"/>
        <v>0</v>
      </c>
      <c r="AN20" s="55">
        <f t="shared" si="12"/>
        <v>0</v>
      </c>
      <c r="AO20" s="60"/>
      <c r="AP20" s="71">
        <f>IF(VLOOKUP(A20,'Data &amp; Formulae'!$A$11:$F$91,6,0)="Y",Scen2Bonus*AF20,0)</f>
        <v>0</v>
      </c>
      <c r="AQ20" s="55">
        <f>IF(VLOOKUP(A20,'Data &amp; Formulae'!$A$11:$F$91,6,0)="Y",ClaimFundProp*AF20+AP20,0)</f>
        <v>0</v>
      </c>
      <c r="AR20" s="55">
        <f t="shared" si="6"/>
        <v>0</v>
      </c>
      <c r="AS20" s="55">
        <f t="shared" si="13"/>
        <v>0</v>
      </c>
      <c r="AT20" s="60"/>
      <c r="AU20" s="71">
        <f>IF(VLOOKUP(A20,'Data &amp; Formulae'!$A$11:$F$91,6,0)="Y",SurrPay*AF20,0)</f>
        <v>0</v>
      </c>
      <c r="AV20" s="73"/>
      <c r="AX20" s="4" t="b">
        <f t="shared" si="7"/>
        <v>1</v>
      </c>
      <c r="AY20" s="89" t="e">
        <f>(S20/(R20+H20)-1)-VLOOKUP(AY$3,'Returns &amp; Bonus'!$A$5:$B$15,2,0)</f>
        <v>#DIV/0!</v>
      </c>
      <c r="AZ20" s="89">
        <f>(T20/(S20+I20)-1)-VLOOKUP(AZ$3,'Returns &amp; Bonus'!$A$5:$B$15,2,0)</f>
        <v>0</v>
      </c>
      <c r="BA20" s="89">
        <f>(U20/(T20+J20)-1)-VLOOKUP(BA$3,'Returns &amp; Bonus'!$A$5:$B$15,2,0)</f>
        <v>0</v>
      </c>
      <c r="BB20" s="89">
        <f>(V20/(U20+K20)-1)-VLOOKUP(BB$3,'Returns &amp; Bonus'!$A$5:$B$15,2,0)</f>
        <v>0</v>
      </c>
      <c r="BC20" s="89">
        <f>(W20/(V20+L20)-1)-VLOOKUP(BC$3,'Returns &amp; Bonus'!$A$5:$B$15,2,0)</f>
        <v>0</v>
      </c>
      <c r="BD20" s="89">
        <f>(X20/(W20+M20)-1)-VLOOKUP(BD$3,'Returns &amp; Bonus'!$A$5:$B$15,2,0)</f>
        <v>0</v>
      </c>
      <c r="BE20" s="89">
        <f>(Y20/(X20+N20)-1)-VLOOKUP(BE$3,'Returns &amp; Bonus'!$A$5:$B$15,2,0)</f>
        <v>0</v>
      </c>
      <c r="BF20" s="89">
        <f>(Z20/(Y20+O20)-1)-VLOOKUP(BF$3,'Returns &amp; Bonus'!$A$5:$B$15,2,0)</f>
        <v>0</v>
      </c>
      <c r="BG20" s="89">
        <f>(AA20/(Z20+P20)-1)-VLOOKUP(BG$3,'Returns &amp; Bonus'!$A$5:$B$15,2,0)</f>
        <v>0</v>
      </c>
      <c r="BH20" s="89">
        <f>(AB20/(AA20+Q20)-1)-VLOOKUP(BH$3,'Returns &amp; Bonus'!$A$5:$B$15,2,0)</f>
        <v>0</v>
      </c>
    </row>
    <row r="21" spans="1:60" x14ac:dyDescent="0.25">
      <c r="A21" s="77">
        <f>'Amended Data'!A21</f>
        <v>18</v>
      </c>
      <c r="B21" s="75">
        <f>'Amended Data'!K21</f>
        <v>40909</v>
      </c>
      <c r="C21" s="55">
        <f>'Amended Data'!J21</f>
        <v>2188</v>
      </c>
      <c r="D21" s="56">
        <f>'Amended Data'!L21</f>
        <v>11</v>
      </c>
      <c r="E21" s="57">
        <f>'Amended Data'!M21</f>
        <v>2525.5825</v>
      </c>
      <c r="F21" s="57" t="str">
        <f>'Data &amp; Formulae'!H29</f>
        <v>Y</v>
      </c>
      <c r="G21" s="57">
        <f t="shared" ref="G21:Q36" si="14">IF(YEAR($B21)&lt;=G$3,$C21,0)</f>
        <v>0</v>
      </c>
      <c r="H21" s="57">
        <f t="shared" si="14"/>
        <v>0</v>
      </c>
      <c r="I21" s="57">
        <f t="shared" si="14"/>
        <v>2188</v>
      </c>
      <c r="J21" s="57">
        <f t="shared" si="14"/>
        <v>2188</v>
      </c>
      <c r="K21" s="57">
        <f t="shared" si="14"/>
        <v>2188</v>
      </c>
      <c r="L21" s="57">
        <f t="shared" si="14"/>
        <v>2188</v>
      </c>
      <c r="M21" s="57">
        <f t="shared" si="14"/>
        <v>2188</v>
      </c>
      <c r="N21" s="57">
        <f t="shared" si="14"/>
        <v>2188</v>
      </c>
      <c r="O21" s="57">
        <f t="shared" si="14"/>
        <v>2188</v>
      </c>
      <c r="P21" s="57">
        <f t="shared" si="14"/>
        <v>2188</v>
      </c>
      <c r="Q21" s="57">
        <f t="shared" si="14"/>
        <v>2188</v>
      </c>
      <c r="R21" s="57">
        <f>IF(R$3=2010,G21*(1+VLOOKUP(R$3,'Returns &amp; Bonus'!$A$5:$B$15,2,0)),(G21+Q21)*(1+VLOOKUP(R$3,'Returns &amp; Bonus'!$A$5:$B$15,2,0)))</f>
        <v>0</v>
      </c>
      <c r="S21" s="57">
        <f>IF(S$3=2010,H21*(1+VLOOKUP(S$3,'Returns &amp; Bonus'!$A$5:$B$15,2,0)),(H21+R21)*(1+VLOOKUP(S$3,'Returns &amp; Bonus'!$A$5:$B$15,2,0)))</f>
        <v>0</v>
      </c>
      <c r="T21" s="57">
        <f>IF(T$3=2010,I21*(1+VLOOKUP(T$3,'Returns &amp; Bonus'!$A$5:$B$15,2,0)),(I21+S21)*(1+VLOOKUP(T$3,'Returns &amp; Bonus'!$A$5:$B$15,2,0)))</f>
        <v>2625.6</v>
      </c>
      <c r="U21" s="57">
        <f>IF(U$3=2010,J21*(1+VLOOKUP(U$3,'Returns &amp; Bonus'!$A$5:$B$15,2,0)),(J21+T21)*(1+VLOOKUP(U$3,'Returns &amp; Bonus'!$A$5:$B$15,2,0)))</f>
        <v>5968.8640000000005</v>
      </c>
      <c r="V21" s="57">
        <f>IF(V$3=2010,K21*(1+VLOOKUP(V$3,'Returns &amp; Bonus'!$A$5:$B$15,2,0)),(K21+U21)*(1+VLOOKUP(V$3,'Returns &amp; Bonus'!$A$5:$B$15,2,0)))</f>
        <v>8075.2953600000001</v>
      </c>
      <c r="W21" s="57">
        <f>IF(W$3=2010,L21*(1+VLOOKUP(W$3,'Returns &amp; Bonus'!$A$5:$B$15,2,0)),(L21+V21)*(1+VLOOKUP(W$3,'Returns &amp; Bonus'!$A$5:$B$15,2,0)))</f>
        <v>13239.6510144</v>
      </c>
      <c r="X21" s="57">
        <f>IF(X$3=2010,M21*(1+VLOOKUP(X$3,'Returns &amp; Bonus'!$A$5:$B$15,2,0)),(M21+W21)*(1+VLOOKUP(X$3,'Returns &amp; Bonus'!$A$5:$B$15,2,0)))</f>
        <v>15119.097994112</v>
      </c>
      <c r="Y21" s="57">
        <f>IF(Y$3=2010,N21*(1+VLOOKUP(Y$3,'Returns &amp; Bonus'!$A$5:$B$15,2,0)),(N21+X21)*(1+VLOOKUP(Y$3,'Returns &amp; Bonus'!$A$5:$B$15,2,0)))</f>
        <v>16441.7430944064</v>
      </c>
      <c r="Z21" s="57">
        <f>IF(Z$3=2010,O21*(1+VLOOKUP(Z$3,'Returns &amp; Bonus'!$A$5:$B$15,2,0)),(O21+Y21)*(1+VLOOKUP(Z$3,'Returns &amp; Bonus'!$A$5:$B$15,2,0)))</f>
        <v>21051.609696679228</v>
      </c>
      <c r="AA21" s="57">
        <f>IF(AA$3=2010,P21*(1+VLOOKUP(AA$3,'Returns &amp; Bonus'!$A$5:$B$15,2,0)),(P21+Z21)*(1+VLOOKUP(AA$3,'Returns &amp; Bonus'!$A$5:$B$15,2,0)))</f>
        <v>25795.966763313947</v>
      </c>
      <c r="AB21" s="81">
        <f>IF(AB$3=2010,Q21*(1+VLOOKUP(AB$3,'Returns &amp; Bonus'!$A$5:$B$15,2,0)),(Q21+AA21)*(1+VLOOKUP(AB$3,'Returns &amp; Bonus'!$A$5:$B$15,2,0)))</f>
        <v>27424.287428047668</v>
      </c>
      <c r="AC21" s="85"/>
      <c r="AD21" s="58">
        <f t="shared" si="2"/>
        <v>24898.704928047668</v>
      </c>
      <c r="AE21" s="58">
        <f t="shared" si="3"/>
        <v>0</v>
      </c>
      <c r="AF21" s="58">
        <f t="shared" si="9"/>
        <v>2525.5825</v>
      </c>
      <c r="AG21" s="58">
        <f t="shared" si="10"/>
        <v>24898.704928047668</v>
      </c>
      <c r="AH21" s="55">
        <f>IF(VLOOKUP(A21,'Data &amp; Formulae'!$A$11:$F$91,6,0)="Y",BonusFundProp*AF21*VLOOKUP(YEAR(B21),'Returns &amp; Bonus'!$G$4:$I$15,3,0),0)</f>
        <v>0</v>
      </c>
      <c r="AI21" s="55">
        <f>IF(VLOOKUP(A21,'Data &amp; Formulae'!$A$11:$F$91,6,0)="Y",ClaimFundProp*AF21+AH21,0)</f>
        <v>0</v>
      </c>
      <c r="AJ21" s="55">
        <f t="shared" si="4"/>
        <v>0</v>
      </c>
      <c r="AK21" s="55">
        <f t="shared" si="11"/>
        <v>0</v>
      </c>
      <c r="AL21" s="60"/>
      <c r="AM21" s="71">
        <f t="shared" si="5"/>
        <v>0</v>
      </c>
      <c r="AN21" s="55">
        <f t="shared" si="12"/>
        <v>0</v>
      </c>
      <c r="AO21" s="60"/>
      <c r="AP21" s="71">
        <f>IF(VLOOKUP(A21,'Data &amp; Formulae'!$A$11:$F$91,6,0)="Y",Scen2Bonus*AF21,0)</f>
        <v>0</v>
      </c>
      <c r="AQ21" s="55">
        <f>IF(VLOOKUP(A21,'Data &amp; Formulae'!$A$11:$F$91,6,0)="Y",ClaimFundProp*AF21+AP21,0)</f>
        <v>0</v>
      </c>
      <c r="AR21" s="55">
        <f t="shared" si="6"/>
        <v>0</v>
      </c>
      <c r="AS21" s="55">
        <f t="shared" si="13"/>
        <v>0</v>
      </c>
      <c r="AT21" s="60"/>
      <c r="AU21" s="71">
        <f>IF(VLOOKUP(A21,'Data &amp; Formulae'!$A$11:$F$91,6,0)="Y",SurrPay*AF21,0)</f>
        <v>0</v>
      </c>
      <c r="AV21" s="73"/>
      <c r="AX21" s="4" t="b">
        <f t="shared" si="7"/>
        <v>1</v>
      </c>
      <c r="AY21" s="89" t="e">
        <f>(S21/(R21+H21)-1)-VLOOKUP(AY$3,'Returns &amp; Bonus'!$A$5:$B$15,2,0)</f>
        <v>#DIV/0!</v>
      </c>
      <c r="AZ21" s="89">
        <f>(T21/(S21+I21)-1)-VLOOKUP(AZ$3,'Returns &amp; Bonus'!$A$5:$B$15,2,0)</f>
        <v>0</v>
      </c>
      <c r="BA21" s="89">
        <f>(U21/(T21+J21)-1)-VLOOKUP(BA$3,'Returns &amp; Bonus'!$A$5:$B$15,2,0)</f>
        <v>0</v>
      </c>
      <c r="BB21" s="89">
        <f>(V21/(U21+K21)-1)-VLOOKUP(BB$3,'Returns &amp; Bonus'!$A$5:$B$15,2,0)</f>
        <v>0</v>
      </c>
      <c r="BC21" s="89">
        <f>(W21/(V21+L21)-1)-VLOOKUP(BC$3,'Returns &amp; Bonus'!$A$5:$B$15,2,0)</f>
        <v>0</v>
      </c>
      <c r="BD21" s="89">
        <f>(X21/(W21+M21)-1)-VLOOKUP(BD$3,'Returns &amp; Bonus'!$A$5:$B$15,2,0)</f>
        <v>0</v>
      </c>
      <c r="BE21" s="89">
        <f>(Y21/(X21+N21)-1)-VLOOKUP(BE$3,'Returns &amp; Bonus'!$A$5:$B$15,2,0)</f>
        <v>-1.5265566588595902E-16</v>
      </c>
      <c r="BF21" s="89">
        <f>(Z21/(Y21+O21)-1)-VLOOKUP(BF$3,'Returns &amp; Bonus'!$A$5:$B$15,2,0)</f>
        <v>0</v>
      </c>
      <c r="BG21" s="89">
        <f>(AA21/(Z21+P21)-1)-VLOOKUP(BG$3,'Returns &amp; Bonus'!$A$5:$B$15,2,0)</f>
        <v>0</v>
      </c>
      <c r="BH21" s="89">
        <f>(AB21/(AA21+Q21)-1)-VLOOKUP(BH$3,'Returns &amp; Bonus'!$A$5:$B$15,2,0)</f>
        <v>0</v>
      </c>
    </row>
    <row r="22" spans="1:60" x14ac:dyDescent="0.25">
      <c r="A22" s="77">
        <f>'Amended Data'!A22</f>
        <v>19</v>
      </c>
      <c r="B22" s="75">
        <f>'Amended Data'!K22</f>
        <v>40909</v>
      </c>
      <c r="C22" s="55">
        <f>'Amended Data'!J22</f>
        <v>7150</v>
      </c>
      <c r="D22" s="56">
        <f>'Amended Data'!L22</f>
        <v>21</v>
      </c>
      <c r="E22" s="57">
        <f>'Amended Data'!M22</f>
        <v>1464.12</v>
      </c>
      <c r="F22" s="57" t="str">
        <f>'Data &amp; Formulae'!H30</f>
        <v>Y</v>
      </c>
      <c r="G22" s="57">
        <f t="shared" si="14"/>
        <v>0</v>
      </c>
      <c r="H22" s="57">
        <f t="shared" si="14"/>
        <v>0</v>
      </c>
      <c r="I22" s="57">
        <f t="shared" si="14"/>
        <v>7150</v>
      </c>
      <c r="J22" s="57">
        <f t="shared" si="14"/>
        <v>7150</v>
      </c>
      <c r="K22" s="57">
        <f t="shared" si="14"/>
        <v>7150</v>
      </c>
      <c r="L22" s="57">
        <f t="shared" si="14"/>
        <v>7150</v>
      </c>
      <c r="M22" s="57">
        <f t="shared" si="14"/>
        <v>7150</v>
      </c>
      <c r="N22" s="57">
        <f t="shared" si="14"/>
        <v>7150</v>
      </c>
      <c r="O22" s="57">
        <f t="shared" si="14"/>
        <v>7150</v>
      </c>
      <c r="P22" s="57">
        <f t="shared" si="14"/>
        <v>7150</v>
      </c>
      <c r="Q22" s="57">
        <f t="shared" si="14"/>
        <v>7150</v>
      </c>
      <c r="R22" s="57">
        <f>IF(R$3=2010,G22*(1+VLOOKUP(R$3,'Returns &amp; Bonus'!$A$5:$B$15,2,0)),(G22+Q22)*(1+VLOOKUP(R$3,'Returns &amp; Bonus'!$A$5:$B$15,2,0)))</f>
        <v>0</v>
      </c>
      <c r="S22" s="57">
        <f>IF(S$3=2010,H22*(1+VLOOKUP(S$3,'Returns &amp; Bonus'!$A$5:$B$15,2,0)),(H22+R22)*(1+VLOOKUP(S$3,'Returns &amp; Bonus'!$A$5:$B$15,2,0)))</f>
        <v>0</v>
      </c>
      <c r="T22" s="57">
        <f>IF(T$3=2010,I22*(1+VLOOKUP(T$3,'Returns &amp; Bonus'!$A$5:$B$15,2,0)),(I22+S22)*(1+VLOOKUP(T$3,'Returns &amp; Bonus'!$A$5:$B$15,2,0)))</f>
        <v>8580</v>
      </c>
      <c r="U22" s="57">
        <f>IF(U$3=2010,J22*(1+VLOOKUP(U$3,'Returns &amp; Bonus'!$A$5:$B$15,2,0)),(J22+T22)*(1+VLOOKUP(U$3,'Returns &amp; Bonus'!$A$5:$B$15,2,0)))</f>
        <v>19505.2</v>
      </c>
      <c r="V22" s="57">
        <f>IF(V$3=2010,K22*(1+VLOOKUP(V$3,'Returns &amp; Bonus'!$A$5:$B$15,2,0)),(K22+U22)*(1+VLOOKUP(V$3,'Returns &amp; Bonus'!$A$5:$B$15,2,0)))</f>
        <v>26388.648000000001</v>
      </c>
      <c r="W22" s="57">
        <f>IF(W$3=2010,L22*(1+VLOOKUP(W$3,'Returns &amp; Bonus'!$A$5:$B$15,2,0)),(L22+V22)*(1+VLOOKUP(W$3,'Returns &amp; Bonus'!$A$5:$B$15,2,0)))</f>
        <v>43264.855920000002</v>
      </c>
      <c r="X22" s="57">
        <f>IF(X$3=2010,M22*(1+VLOOKUP(X$3,'Returns &amp; Bonus'!$A$5:$B$15,2,0)),(M22+W22)*(1+VLOOKUP(X$3,'Returns &amp; Bonus'!$A$5:$B$15,2,0)))</f>
        <v>49406.558801600004</v>
      </c>
      <c r="Y22" s="57">
        <f>IF(Y$3=2010,N22*(1+VLOOKUP(Y$3,'Returns &amp; Bonus'!$A$5:$B$15,2,0)),(N22+X22)*(1+VLOOKUP(Y$3,'Returns &amp; Bonus'!$A$5:$B$15,2,0)))</f>
        <v>53728.730861520002</v>
      </c>
      <c r="Z22" s="57">
        <f>IF(Z$3=2010,O22*(1+VLOOKUP(Z$3,'Returns &amp; Bonus'!$A$5:$B$15,2,0)),(O22+Y22)*(1+VLOOKUP(Z$3,'Returns &amp; Bonus'!$A$5:$B$15,2,0)))</f>
        <v>68792.965873517591</v>
      </c>
      <c r="AA22" s="57">
        <f>IF(AA$3=2010,P22*(1+VLOOKUP(AA$3,'Returns &amp; Bonus'!$A$5:$B$15,2,0)),(P22+Z22)*(1+VLOOKUP(AA$3,'Returns &amp; Bonus'!$A$5:$B$15,2,0)))</f>
        <v>84296.69211960453</v>
      </c>
      <c r="AB22" s="81">
        <f>IF(AB$3=2010,Q22*(1+VLOOKUP(AB$3,'Returns &amp; Bonus'!$A$5:$B$15,2,0)),(Q22+AA22)*(1+VLOOKUP(AB$3,'Returns &amp; Bonus'!$A$5:$B$15,2,0)))</f>
        <v>89617.758277212444</v>
      </c>
      <c r="AC22" s="85"/>
      <c r="AD22" s="58">
        <f t="shared" si="2"/>
        <v>88153.638277212449</v>
      </c>
      <c r="AE22" s="58">
        <f t="shared" si="3"/>
        <v>0</v>
      </c>
      <c r="AF22" s="58">
        <f t="shared" si="9"/>
        <v>1464.12</v>
      </c>
      <c r="AG22" s="58">
        <f t="shared" si="10"/>
        <v>88153.638277212449</v>
      </c>
      <c r="AH22" s="55">
        <f>IF(VLOOKUP(A22,'Data &amp; Formulae'!$A$11:$F$91,6,0)="Y",BonusFundProp*AF22*VLOOKUP(YEAR(B22),'Returns &amp; Bonus'!$G$4:$I$15,3,0),0)</f>
        <v>336.74759999999998</v>
      </c>
      <c r="AI22" s="55">
        <f>IF(VLOOKUP(A22,'Data &amp; Formulae'!$A$11:$F$91,6,0)="Y",ClaimFundProp*AF22+AH22,0)</f>
        <v>1508.0436</v>
      </c>
      <c r="AJ22" s="55">
        <f t="shared" si="4"/>
        <v>1508.0436</v>
      </c>
      <c r="AK22" s="55">
        <f t="shared" si="11"/>
        <v>-43.923600000000079</v>
      </c>
      <c r="AL22" s="60"/>
      <c r="AM22" s="71">
        <f t="shared" si="5"/>
        <v>1508.0436</v>
      </c>
      <c r="AN22" s="55">
        <f t="shared" si="12"/>
        <v>-43.923600000000079</v>
      </c>
      <c r="AO22" s="60"/>
      <c r="AP22" s="71">
        <f>IF(VLOOKUP(A22,'Data &amp; Formulae'!$A$11:$F$91,6,0)="Y",Scen2Bonus*AF22,0)</f>
        <v>307.46519999999998</v>
      </c>
      <c r="AQ22" s="55">
        <f>IF(VLOOKUP(A22,'Data &amp; Formulae'!$A$11:$F$91,6,0)="Y",ClaimFundProp*AF22+AP22,0)</f>
        <v>1478.7611999999999</v>
      </c>
      <c r="AR22" s="55">
        <f t="shared" si="6"/>
        <v>1478.7611999999999</v>
      </c>
      <c r="AS22" s="55">
        <f t="shared" si="13"/>
        <v>-14.641200000000026</v>
      </c>
      <c r="AT22" s="60"/>
      <c r="AU22" s="71">
        <f>IF(VLOOKUP(A22,'Data &amp; Formulae'!$A$11:$F$91,6,0)="Y",SurrPay*AF22,0)</f>
        <v>36.603000000000002</v>
      </c>
      <c r="AV22" s="73"/>
      <c r="AX22" s="4" t="b">
        <f t="shared" si="7"/>
        <v>1</v>
      </c>
      <c r="AY22" s="89" t="e">
        <f>(S22/(R22+H22)-1)-VLOOKUP(AY$3,'Returns &amp; Bonus'!$A$5:$B$15,2,0)</f>
        <v>#DIV/0!</v>
      </c>
      <c r="AZ22" s="89">
        <f>(T22/(S22+I22)-1)-VLOOKUP(AZ$3,'Returns &amp; Bonus'!$A$5:$B$15,2,0)</f>
        <v>0</v>
      </c>
      <c r="BA22" s="89">
        <f>(U22/(T22+J22)-1)-VLOOKUP(BA$3,'Returns &amp; Bonus'!$A$5:$B$15,2,0)</f>
        <v>0</v>
      </c>
      <c r="BB22" s="89">
        <f>(V22/(U22+K22)-1)-VLOOKUP(BB$3,'Returns &amp; Bonus'!$A$5:$B$15,2,0)</f>
        <v>0</v>
      </c>
      <c r="BC22" s="89">
        <f>(W22/(V22+L22)-1)-VLOOKUP(BC$3,'Returns &amp; Bonus'!$A$5:$B$15,2,0)</f>
        <v>0</v>
      </c>
      <c r="BD22" s="89">
        <f>(X22/(W22+M22)-1)-VLOOKUP(BD$3,'Returns &amp; Bonus'!$A$5:$B$15,2,0)</f>
        <v>9.3675067702747583E-17</v>
      </c>
      <c r="BE22" s="89">
        <f>(Y22/(X22+N22)-1)-VLOOKUP(BE$3,'Returns &amp; Bonus'!$A$5:$B$15,2,0)</f>
        <v>0</v>
      </c>
      <c r="BF22" s="89">
        <f>(Z22/(Y22+O22)-1)-VLOOKUP(BF$3,'Returns &amp; Bonus'!$A$5:$B$15,2,0)</f>
        <v>0</v>
      </c>
      <c r="BG22" s="89">
        <f>(AA22/(Z22+P22)-1)-VLOOKUP(BG$3,'Returns &amp; Bonus'!$A$5:$B$15,2,0)</f>
        <v>0</v>
      </c>
      <c r="BH22" s="89">
        <f>(AB22/(AA22+Q22)-1)-VLOOKUP(BH$3,'Returns &amp; Bonus'!$A$5:$B$15,2,0)</f>
        <v>9.3675067702747583E-17</v>
      </c>
    </row>
    <row r="23" spans="1:60" x14ac:dyDescent="0.25">
      <c r="A23" s="77">
        <f>'Amended Data'!A23</f>
        <v>20</v>
      </c>
      <c r="B23" s="75">
        <f>'Amended Data'!K23</f>
        <v>40909</v>
      </c>
      <c r="C23" s="55">
        <f>'Amended Data'!J23</f>
        <v>9441</v>
      </c>
      <c r="D23" s="56">
        <f>'Amended Data'!L23</f>
        <v>30</v>
      </c>
      <c r="E23" s="57">
        <f>'Amended Data'!M23</f>
        <v>34394.814999999995</v>
      </c>
      <c r="F23" s="57" t="str">
        <f>'Data &amp; Formulae'!H31</f>
        <v>Y</v>
      </c>
      <c r="G23" s="57">
        <f t="shared" si="14"/>
        <v>0</v>
      </c>
      <c r="H23" s="57">
        <f t="shared" si="14"/>
        <v>0</v>
      </c>
      <c r="I23" s="57">
        <f t="shared" si="14"/>
        <v>9441</v>
      </c>
      <c r="J23" s="57">
        <f t="shared" si="14"/>
        <v>9441</v>
      </c>
      <c r="K23" s="57">
        <f t="shared" si="14"/>
        <v>9441</v>
      </c>
      <c r="L23" s="57">
        <f t="shared" si="14"/>
        <v>9441</v>
      </c>
      <c r="M23" s="57">
        <f t="shared" si="14"/>
        <v>9441</v>
      </c>
      <c r="N23" s="57">
        <f t="shared" si="14"/>
        <v>9441</v>
      </c>
      <c r="O23" s="57">
        <f t="shared" si="14"/>
        <v>9441</v>
      </c>
      <c r="P23" s="57">
        <f t="shared" si="14"/>
        <v>9441</v>
      </c>
      <c r="Q23" s="57">
        <f t="shared" si="14"/>
        <v>9441</v>
      </c>
      <c r="R23" s="57">
        <f>IF(R$3=2010,G23*(1+VLOOKUP(R$3,'Returns &amp; Bonus'!$A$5:$B$15,2,0)),(G23+Q23)*(1+VLOOKUP(R$3,'Returns &amp; Bonus'!$A$5:$B$15,2,0)))</f>
        <v>0</v>
      </c>
      <c r="S23" s="57">
        <f>IF(S$3=2010,H23*(1+VLOOKUP(S$3,'Returns &amp; Bonus'!$A$5:$B$15,2,0)),(H23+R23)*(1+VLOOKUP(S$3,'Returns &amp; Bonus'!$A$5:$B$15,2,0)))</f>
        <v>0</v>
      </c>
      <c r="T23" s="57">
        <f>IF(T$3=2010,I23*(1+VLOOKUP(T$3,'Returns &amp; Bonus'!$A$5:$B$15,2,0)),(I23+S23)*(1+VLOOKUP(T$3,'Returns &amp; Bonus'!$A$5:$B$15,2,0)))</f>
        <v>11329.199999999999</v>
      </c>
      <c r="U23" s="57">
        <f>IF(U$3=2010,J23*(1+VLOOKUP(U$3,'Returns &amp; Bonus'!$A$5:$B$15,2,0)),(J23+T23)*(1+VLOOKUP(U$3,'Returns &amp; Bonus'!$A$5:$B$15,2,0)))</f>
        <v>25755.047999999995</v>
      </c>
      <c r="V23" s="57">
        <f>IF(V$3=2010,K23*(1+VLOOKUP(V$3,'Returns &amp; Bonus'!$A$5:$B$15,2,0)),(K23+U23)*(1+VLOOKUP(V$3,'Returns &amp; Bonus'!$A$5:$B$15,2,0)))</f>
        <v>34844.087519999994</v>
      </c>
      <c r="W23" s="57">
        <f>IF(W$3=2010,L23*(1+VLOOKUP(W$3,'Returns &amp; Bonus'!$A$5:$B$15,2,0)),(L23+V23)*(1+VLOOKUP(W$3,'Returns &amp; Bonus'!$A$5:$B$15,2,0)))</f>
        <v>57127.762900799993</v>
      </c>
      <c r="X23" s="57">
        <f>IF(X$3=2010,M23*(1+VLOOKUP(X$3,'Returns &amp; Bonus'!$A$5:$B$15,2,0)),(M23+W23)*(1+VLOOKUP(X$3,'Returns &amp; Bonus'!$A$5:$B$15,2,0)))</f>
        <v>65237.387642783993</v>
      </c>
      <c r="Y23" s="57">
        <f>IF(Y$3=2010,N23*(1+VLOOKUP(Y$3,'Returns &amp; Bonus'!$A$5:$B$15,2,0)),(N23+X23)*(1+VLOOKUP(Y$3,'Returns &amp; Bonus'!$A$5:$B$15,2,0)))</f>
        <v>70944.46826064479</v>
      </c>
      <c r="Z23" s="57">
        <f>IF(Z$3=2010,O23*(1+VLOOKUP(Z$3,'Returns &amp; Bonus'!$A$5:$B$15,2,0)),(O23+Y23)*(1+VLOOKUP(Z$3,'Returns &amp; Bonus'!$A$5:$B$15,2,0)))</f>
        <v>90835.579134528598</v>
      </c>
      <c r="AA23" s="57">
        <f>IF(AA$3=2010,P23*(1+VLOOKUP(AA$3,'Returns &amp; Bonus'!$A$5:$B$15,2,0)),(P23+Z23)*(1+VLOOKUP(AA$3,'Returns &amp; Bonus'!$A$5:$B$15,2,0)))</f>
        <v>111307.00283932676</v>
      </c>
      <c r="AB23" s="81">
        <f>IF(AB$3=2010,Q23*(1+VLOOKUP(AB$3,'Returns &amp; Bonus'!$A$5:$B$15,2,0)),(Q23+AA23)*(1+VLOOKUP(AB$3,'Returns &amp; Bonus'!$A$5:$B$15,2,0)))</f>
        <v>118333.04278254021</v>
      </c>
      <c r="AC23" s="85"/>
      <c r="AD23" s="58">
        <f t="shared" si="2"/>
        <v>83938.227782540227</v>
      </c>
      <c r="AE23" s="58">
        <f t="shared" si="3"/>
        <v>0</v>
      </c>
      <c r="AF23" s="58">
        <f t="shared" si="9"/>
        <v>34394.814999999995</v>
      </c>
      <c r="AG23" s="58">
        <f t="shared" si="10"/>
        <v>83938.227782540227</v>
      </c>
      <c r="AH23" s="55">
        <f>IF(VLOOKUP(A23,'Data &amp; Formulae'!$A$11:$F$91,6,0)="Y",BonusFundProp*AF23*VLOOKUP(YEAR(B23),'Returns &amp; Bonus'!$G$4:$I$15,3,0),0)</f>
        <v>7910.8074499999993</v>
      </c>
      <c r="AI23" s="55">
        <f>IF(VLOOKUP(A23,'Data &amp; Formulae'!$A$11:$F$91,6,0)="Y",ClaimFundProp*AF23+AH23,0)</f>
        <v>35426.659449999999</v>
      </c>
      <c r="AJ23" s="55">
        <f t="shared" si="4"/>
        <v>35426.659449999999</v>
      </c>
      <c r="AK23" s="55">
        <f t="shared" si="11"/>
        <v>-1031.8444500000041</v>
      </c>
      <c r="AL23" s="60"/>
      <c r="AM23" s="71">
        <f t="shared" si="5"/>
        <v>35426.659449999999</v>
      </c>
      <c r="AN23" s="55">
        <f t="shared" si="12"/>
        <v>-1031.8444500000041</v>
      </c>
      <c r="AO23" s="60"/>
      <c r="AP23" s="71">
        <f>IF(VLOOKUP(A23,'Data &amp; Formulae'!$A$11:$F$91,6,0)="Y",Scen2Bonus*AF23,0)</f>
        <v>7222.911149999999</v>
      </c>
      <c r="AQ23" s="55">
        <f>IF(VLOOKUP(A23,'Data &amp; Formulae'!$A$11:$F$91,6,0)="Y",ClaimFundProp*AF23+AP23,0)</f>
        <v>34738.763149999999</v>
      </c>
      <c r="AR23" s="55">
        <f t="shared" si="6"/>
        <v>34738.763149999999</v>
      </c>
      <c r="AS23" s="55">
        <f t="shared" si="13"/>
        <v>-343.94815000000381</v>
      </c>
      <c r="AT23" s="60"/>
      <c r="AU23" s="71">
        <f>IF(VLOOKUP(A23,'Data &amp; Formulae'!$A$11:$F$91,6,0)="Y",SurrPay*AF23,0)</f>
        <v>859.87037499999997</v>
      </c>
      <c r="AV23" s="73"/>
      <c r="AX23" s="4" t="b">
        <f t="shared" si="7"/>
        <v>1</v>
      </c>
      <c r="AY23" s="89" t="e">
        <f>(S23/(R23+H23)-1)-VLOOKUP(AY$3,'Returns &amp; Bonus'!$A$5:$B$15,2,0)</f>
        <v>#DIV/0!</v>
      </c>
      <c r="AZ23" s="89">
        <f>(T23/(S23+I23)-1)-VLOOKUP(AZ$3,'Returns &amp; Bonus'!$A$5:$B$15,2,0)</f>
        <v>0</v>
      </c>
      <c r="BA23" s="89">
        <f>(U23/(T23+J23)-1)-VLOOKUP(BA$3,'Returns &amp; Bonus'!$A$5:$B$15,2,0)</f>
        <v>0</v>
      </c>
      <c r="BB23" s="89">
        <f>(V23/(U23+K23)-1)-VLOOKUP(BB$3,'Returns &amp; Bonus'!$A$5:$B$15,2,0)</f>
        <v>0</v>
      </c>
      <c r="BC23" s="89">
        <f>(W23/(V23+L23)-1)-VLOOKUP(BC$3,'Returns &amp; Bonus'!$A$5:$B$15,2,0)</f>
        <v>0</v>
      </c>
      <c r="BD23" s="89">
        <f>(X23/(W23+M23)-1)-VLOOKUP(BD$3,'Returns &amp; Bonus'!$A$5:$B$15,2,0)</f>
        <v>0</v>
      </c>
      <c r="BE23" s="89">
        <f>(Y23/(X23+N23)-1)-VLOOKUP(BE$3,'Returns &amp; Bonus'!$A$5:$B$15,2,0)</f>
        <v>6.9388939039072284E-17</v>
      </c>
      <c r="BF23" s="89">
        <f>(Z23/(Y23+O23)-1)-VLOOKUP(BF$3,'Returns &amp; Bonus'!$A$5:$B$15,2,0)</f>
        <v>0</v>
      </c>
      <c r="BG23" s="89">
        <f>(AA23/(Z23+P23)-1)-VLOOKUP(BG$3,'Returns &amp; Bonus'!$A$5:$B$15,2,0)</f>
        <v>0</v>
      </c>
      <c r="BH23" s="89">
        <f>(AB23/(AA23+Q23)-1)-VLOOKUP(BH$3,'Returns &amp; Bonus'!$A$5:$B$15,2,0)</f>
        <v>0</v>
      </c>
    </row>
    <row r="24" spans="1:60" x14ac:dyDescent="0.25">
      <c r="A24" s="77">
        <f>'Amended Data'!A24</f>
        <v>21</v>
      </c>
      <c r="B24" s="75">
        <f>'Amended Data'!K24</f>
        <v>40909</v>
      </c>
      <c r="C24" s="55">
        <f>'Amended Data'!J24</f>
        <v>200</v>
      </c>
      <c r="D24" s="56">
        <f>'Amended Data'!L24</f>
        <v>25</v>
      </c>
      <c r="E24" s="57">
        <f>'Amended Data'!M24</f>
        <v>0</v>
      </c>
      <c r="F24" s="57" t="str">
        <f>'Data &amp; Formulae'!H32</f>
        <v>Y</v>
      </c>
      <c r="G24" s="57">
        <f t="shared" si="14"/>
        <v>0</v>
      </c>
      <c r="H24" s="57">
        <f t="shared" si="14"/>
        <v>0</v>
      </c>
      <c r="I24" s="57">
        <f t="shared" si="14"/>
        <v>200</v>
      </c>
      <c r="J24" s="57">
        <f t="shared" si="14"/>
        <v>200</v>
      </c>
      <c r="K24" s="57">
        <f t="shared" si="14"/>
        <v>200</v>
      </c>
      <c r="L24" s="57">
        <f t="shared" si="14"/>
        <v>200</v>
      </c>
      <c r="M24" s="57">
        <f t="shared" si="14"/>
        <v>200</v>
      </c>
      <c r="N24" s="57">
        <f t="shared" si="14"/>
        <v>200</v>
      </c>
      <c r="O24" s="57">
        <f t="shared" si="14"/>
        <v>200</v>
      </c>
      <c r="P24" s="57">
        <f t="shared" si="14"/>
        <v>200</v>
      </c>
      <c r="Q24" s="57">
        <f t="shared" si="14"/>
        <v>200</v>
      </c>
      <c r="R24" s="57">
        <f>IF(R$3=2010,G24*(1+VLOOKUP(R$3,'Returns &amp; Bonus'!$A$5:$B$15,2,0)),(G24+Q24)*(1+VLOOKUP(R$3,'Returns &amp; Bonus'!$A$5:$B$15,2,0)))</f>
        <v>0</v>
      </c>
      <c r="S24" s="57">
        <f>IF(S$3=2010,H24*(1+VLOOKUP(S$3,'Returns &amp; Bonus'!$A$5:$B$15,2,0)),(H24+R24)*(1+VLOOKUP(S$3,'Returns &amp; Bonus'!$A$5:$B$15,2,0)))</f>
        <v>0</v>
      </c>
      <c r="T24" s="57">
        <f>IF(T$3=2010,I24*(1+VLOOKUP(T$3,'Returns &amp; Bonus'!$A$5:$B$15,2,0)),(I24+S24)*(1+VLOOKUP(T$3,'Returns &amp; Bonus'!$A$5:$B$15,2,0)))</f>
        <v>240</v>
      </c>
      <c r="U24" s="57">
        <f>IF(U$3=2010,J24*(1+VLOOKUP(U$3,'Returns &amp; Bonus'!$A$5:$B$15,2,0)),(J24+T24)*(1+VLOOKUP(U$3,'Returns &amp; Bonus'!$A$5:$B$15,2,0)))</f>
        <v>545.6</v>
      </c>
      <c r="V24" s="57">
        <f>IF(V$3=2010,K24*(1+VLOOKUP(V$3,'Returns &amp; Bonus'!$A$5:$B$15,2,0)),(K24+U24)*(1+VLOOKUP(V$3,'Returns &amp; Bonus'!$A$5:$B$15,2,0)))</f>
        <v>738.14400000000001</v>
      </c>
      <c r="W24" s="57">
        <f>IF(W$3=2010,L24*(1+VLOOKUP(W$3,'Returns &amp; Bonus'!$A$5:$B$15,2,0)),(L24+V24)*(1+VLOOKUP(W$3,'Returns &amp; Bonus'!$A$5:$B$15,2,0)))</f>
        <v>1210.2057600000001</v>
      </c>
      <c r="X24" s="57">
        <f>IF(X$3=2010,M24*(1+VLOOKUP(X$3,'Returns &amp; Bonus'!$A$5:$B$15,2,0)),(M24+W24)*(1+VLOOKUP(X$3,'Returns &amp; Bonus'!$A$5:$B$15,2,0)))</f>
        <v>1382.0016448000001</v>
      </c>
      <c r="Y24" s="57">
        <f>IF(Y$3=2010,N24*(1+VLOOKUP(Y$3,'Returns &amp; Bonus'!$A$5:$B$15,2,0)),(N24+X24)*(1+VLOOKUP(Y$3,'Returns &amp; Bonus'!$A$5:$B$15,2,0)))</f>
        <v>1502.90156256</v>
      </c>
      <c r="Z24" s="57">
        <f>IF(Z$3=2010,O24*(1+VLOOKUP(Z$3,'Returns &amp; Bonus'!$A$5:$B$15,2,0)),(O24+Y24)*(1+VLOOKUP(Z$3,'Returns &amp; Bonus'!$A$5:$B$15,2,0)))</f>
        <v>1924.2787656927999</v>
      </c>
      <c r="AA24" s="57">
        <f>IF(AA$3=2010,P24*(1+VLOOKUP(AA$3,'Returns &amp; Bonus'!$A$5:$B$15,2,0)),(P24+Z24)*(1+VLOOKUP(AA$3,'Returns &amp; Bonus'!$A$5:$B$15,2,0)))</f>
        <v>2357.9494299190083</v>
      </c>
      <c r="AB24" s="81">
        <f>IF(AB$3=2010,Q24*(1+VLOOKUP(AB$3,'Returns &amp; Bonus'!$A$5:$B$15,2,0)),(Q24+AA24)*(1+VLOOKUP(AB$3,'Returns &amp; Bonus'!$A$5:$B$15,2,0)))</f>
        <v>2506.7904413206279</v>
      </c>
      <c r="AC24" s="85"/>
      <c r="AD24" s="58">
        <f t="shared" si="2"/>
        <v>2506.7904413206279</v>
      </c>
      <c r="AE24" s="58">
        <f t="shared" si="3"/>
        <v>0</v>
      </c>
      <c r="AF24" s="58">
        <f t="shared" si="9"/>
        <v>0</v>
      </c>
      <c r="AG24" s="58">
        <f t="shared" si="10"/>
        <v>2506.7904413206279</v>
      </c>
      <c r="AH24" s="55">
        <f>IF(VLOOKUP(A24,'Data &amp; Formulae'!$A$11:$F$91,6,0)="Y",BonusFundProp*AF24*VLOOKUP(YEAR(B24),'Returns &amp; Bonus'!$G$4:$I$15,3,0),0)</f>
        <v>0</v>
      </c>
      <c r="AI24" s="55">
        <f>IF(VLOOKUP(A24,'Data &amp; Formulae'!$A$11:$F$91,6,0)="Y",ClaimFundProp*AF24+AH24,0)</f>
        <v>0</v>
      </c>
      <c r="AJ24" s="55">
        <f t="shared" si="4"/>
        <v>0</v>
      </c>
      <c r="AK24" s="55">
        <f t="shared" si="11"/>
        <v>0</v>
      </c>
      <c r="AL24" s="60"/>
      <c r="AM24" s="71">
        <f t="shared" si="5"/>
        <v>0</v>
      </c>
      <c r="AN24" s="55">
        <f t="shared" si="12"/>
        <v>0</v>
      </c>
      <c r="AO24" s="60"/>
      <c r="AP24" s="71">
        <f>IF(VLOOKUP(A24,'Data &amp; Formulae'!$A$11:$F$91,6,0)="Y",Scen2Bonus*AF24,0)</f>
        <v>0</v>
      </c>
      <c r="AQ24" s="55">
        <f>IF(VLOOKUP(A24,'Data &amp; Formulae'!$A$11:$F$91,6,0)="Y",ClaimFundProp*AF24+AP24,0)</f>
        <v>0</v>
      </c>
      <c r="AR24" s="55">
        <f t="shared" si="6"/>
        <v>0</v>
      </c>
      <c r="AS24" s="55">
        <f t="shared" si="13"/>
        <v>0</v>
      </c>
      <c r="AT24" s="60"/>
      <c r="AU24" s="71">
        <f>IF(VLOOKUP(A24,'Data &amp; Formulae'!$A$11:$F$91,6,0)="Y",SurrPay*AF24,0)</f>
        <v>0</v>
      </c>
      <c r="AV24" s="73"/>
      <c r="AX24" s="4" t="b">
        <f t="shared" si="7"/>
        <v>1</v>
      </c>
      <c r="AY24" s="89" t="e">
        <f>(S24/(R24+H24)-1)-VLOOKUP(AY$3,'Returns &amp; Bonus'!$A$5:$B$15,2,0)</f>
        <v>#DIV/0!</v>
      </c>
      <c r="AZ24" s="89">
        <f>(T24/(S24+I24)-1)-VLOOKUP(AZ$3,'Returns &amp; Bonus'!$A$5:$B$15,2,0)</f>
        <v>0</v>
      </c>
      <c r="BA24" s="89">
        <f>(U24/(T24+J24)-1)-VLOOKUP(BA$3,'Returns &amp; Bonus'!$A$5:$B$15,2,0)</f>
        <v>0</v>
      </c>
      <c r="BB24" s="89">
        <f>(V24/(U24+K24)-1)-VLOOKUP(BB$3,'Returns &amp; Bonus'!$A$5:$B$15,2,0)</f>
        <v>0</v>
      </c>
      <c r="BC24" s="89">
        <f>(W24/(V24+L24)-1)-VLOOKUP(BC$3,'Returns &amp; Bonus'!$A$5:$B$15,2,0)</f>
        <v>0</v>
      </c>
      <c r="BD24" s="89">
        <f>(X24/(W24+M24)-1)-VLOOKUP(BD$3,'Returns &amp; Bonus'!$A$5:$B$15,2,0)</f>
        <v>9.3675067702747583E-17</v>
      </c>
      <c r="BE24" s="89">
        <f>(Y24/(X24+N24)-1)-VLOOKUP(BE$3,'Returns &amp; Bonus'!$A$5:$B$15,2,0)</f>
        <v>0</v>
      </c>
      <c r="BF24" s="89">
        <f>(Z24/(Y24+O24)-1)-VLOOKUP(BF$3,'Returns &amp; Bonus'!$A$5:$B$15,2,0)</f>
        <v>0</v>
      </c>
      <c r="BG24" s="89">
        <f>(AA24/(Z24+P24)-1)-VLOOKUP(BG$3,'Returns &amp; Bonus'!$A$5:$B$15,2,0)</f>
        <v>0</v>
      </c>
      <c r="BH24" s="89">
        <f>(AB24/(AA24+Q24)-1)-VLOOKUP(BH$3,'Returns &amp; Bonus'!$A$5:$B$15,2,0)</f>
        <v>0</v>
      </c>
    </row>
    <row r="25" spans="1:60" x14ac:dyDescent="0.25">
      <c r="A25" s="77">
        <f>'Amended Data'!A25</f>
        <v>22</v>
      </c>
      <c r="B25" s="75">
        <f>'Amended Data'!K25</f>
        <v>40909</v>
      </c>
      <c r="C25" s="55">
        <f>'Amended Data'!J25</f>
        <v>6629</v>
      </c>
      <c r="D25" s="56">
        <f>'Amended Data'!L25</f>
        <v>16</v>
      </c>
      <c r="E25" s="57">
        <f>'Amended Data'!M25</f>
        <v>4363.8174999999992</v>
      </c>
      <c r="F25" s="57" t="str">
        <f>'Data &amp; Formulae'!H33</f>
        <v>Y</v>
      </c>
      <c r="G25" s="57">
        <f t="shared" si="14"/>
        <v>0</v>
      </c>
      <c r="H25" s="57">
        <f t="shared" si="14"/>
        <v>0</v>
      </c>
      <c r="I25" s="57">
        <f t="shared" si="14"/>
        <v>6629</v>
      </c>
      <c r="J25" s="57">
        <f t="shared" si="14"/>
        <v>6629</v>
      </c>
      <c r="K25" s="57">
        <f t="shared" si="14"/>
        <v>6629</v>
      </c>
      <c r="L25" s="57">
        <f t="shared" si="14"/>
        <v>6629</v>
      </c>
      <c r="M25" s="57">
        <f t="shared" si="14"/>
        <v>6629</v>
      </c>
      <c r="N25" s="57">
        <f t="shared" si="14"/>
        <v>6629</v>
      </c>
      <c r="O25" s="57">
        <f t="shared" si="14"/>
        <v>6629</v>
      </c>
      <c r="P25" s="57">
        <f t="shared" si="14"/>
        <v>6629</v>
      </c>
      <c r="Q25" s="57">
        <f t="shared" si="14"/>
        <v>6629</v>
      </c>
      <c r="R25" s="57">
        <f>IF(R$3=2010,G25*(1+VLOOKUP(R$3,'Returns &amp; Bonus'!$A$5:$B$15,2,0)),(G25+Q25)*(1+VLOOKUP(R$3,'Returns &amp; Bonus'!$A$5:$B$15,2,0)))</f>
        <v>0</v>
      </c>
      <c r="S25" s="57">
        <f>IF(S$3=2010,H25*(1+VLOOKUP(S$3,'Returns &amp; Bonus'!$A$5:$B$15,2,0)),(H25+R25)*(1+VLOOKUP(S$3,'Returns &amp; Bonus'!$A$5:$B$15,2,0)))</f>
        <v>0</v>
      </c>
      <c r="T25" s="57">
        <f>IF(T$3=2010,I25*(1+VLOOKUP(T$3,'Returns &amp; Bonus'!$A$5:$B$15,2,0)),(I25+S25)*(1+VLOOKUP(T$3,'Returns &amp; Bonus'!$A$5:$B$15,2,0)))</f>
        <v>7954.7999999999993</v>
      </c>
      <c r="U25" s="57">
        <f>IF(U$3=2010,J25*(1+VLOOKUP(U$3,'Returns &amp; Bonus'!$A$5:$B$15,2,0)),(J25+T25)*(1+VLOOKUP(U$3,'Returns &amp; Bonus'!$A$5:$B$15,2,0)))</f>
        <v>18083.912</v>
      </c>
      <c r="V25" s="57">
        <f>IF(V$3=2010,K25*(1+VLOOKUP(V$3,'Returns &amp; Bonus'!$A$5:$B$15,2,0)),(K25+U25)*(1+VLOOKUP(V$3,'Returns &amp; Bonus'!$A$5:$B$15,2,0)))</f>
        <v>24465.782879999999</v>
      </c>
      <c r="W25" s="57">
        <f>IF(W$3=2010,L25*(1+VLOOKUP(W$3,'Returns &amp; Bonus'!$A$5:$B$15,2,0)),(L25+V25)*(1+VLOOKUP(W$3,'Returns &amp; Bonus'!$A$5:$B$15,2,0)))</f>
        <v>40112.269915199999</v>
      </c>
      <c r="X25" s="57">
        <f>IF(X$3=2010,M25*(1+VLOOKUP(X$3,'Returns &amp; Bonus'!$A$5:$B$15,2,0)),(M25+W25)*(1+VLOOKUP(X$3,'Returns &amp; Bonus'!$A$5:$B$15,2,0)))</f>
        <v>45806.444516896001</v>
      </c>
      <c r="Y25" s="57">
        <f>IF(Y$3=2010,N25*(1+VLOOKUP(Y$3,'Returns &amp; Bonus'!$A$5:$B$15,2,0)),(N25+X25)*(1+VLOOKUP(Y$3,'Returns &amp; Bonus'!$A$5:$B$15,2,0)))</f>
        <v>49813.672291051196</v>
      </c>
      <c r="Z25" s="57">
        <f>IF(Z$3=2010,O25*(1+VLOOKUP(Z$3,'Returns &amp; Bonus'!$A$5:$B$15,2,0)),(O25+Y25)*(1+VLOOKUP(Z$3,'Returns &amp; Bonus'!$A$5:$B$15,2,0)))</f>
        <v>63780.219688887846</v>
      </c>
      <c r="AA25" s="57">
        <f>IF(AA$3=2010,P25*(1+VLOOKUP(AA$3,'Returns &amp; Bonus'!$A$5:$B$15,2,0)),(P25+Z25)*(1+VLOOKUP(AA$3,'Returns &amp; Bonus'!$A$5:$B$15,2,0)))</f>
        <v>78154.233854665523</v>
      </c>
      <c r="AB25" s="81">
        <f>IF(AB$3=2010,Q25*(1+VLOOKUP(AB$3,'Returns &amp; Bonus'!$A$5:$B$15,2,0)),(Q25+AA25)*(1+VLOOKUP(AB$3,'Returns &amp; Bonus'!$A$5:$B$15,2,0)))</f>
        <v>83087.569177572208</v>
      </c>
      <c r="AC25" s="85"/>
      <c r="AD25" s="58">
        <f t="shared" si="2"/>
        <v>78723.751677572203</v>
      </c>
      <c r="AE25" s="58">
        <f t="shared" si="3"/>
        <v>0</v>
      </c>
      <c r="AF25" s="58">
        <f t="shared" si="9"/>
        <v>4363.8174999999992</v>
      </c>
      <c r="AG25" s="58">
        <f t="shared" si="10"/>
        <v>78723.751677572203</v>
      </c>
      <c r="AH25" s="55">
        <f>IF(VLOOKUP(A25,'Data &amp; Formulae'!$A$11:$F$91,6,0)="Y",BonusFundProp*AF25*VLOOKUP(YEAR(B25),'Returns &amp; Bonus'!$G$4:$I$15,3,0),0)</f>
        <v>0</v>
      </c>
      <c r="AI25" s="55">
        <f>IF(VLOOKUP(A25,'Data &amp; Formulae'!$A$11:$F$91,6,0)="Y",ClaimFundProp*AF25+AH25,0)</f>
        <v>0</v>
      </c>
      <c r="AJ25" s="55">
        <f t="shared" si="4"/>
        <v>0</v>
      </c>
      <c r="AK25" s="55">
        <f t="shared" si="11"/>
        <v>0</v>
      </c>
      <c r="AL25" s="60"/>
      <c r="AM25" s="71">
        <f t="shared" si="5"/>
        <v>0</v>
      </c>
      <c r="AN25" s="55">
        <f t="shared" si="12"/>
        <v>0</v>
      </c>
      <c r="AO25" s="60"/>
      <c r="AP25" s="71">
        <f>IF(VLOOKUP(A25,'Data &amp; Formulae'!$A$11:$F$91,6,0)="Y",Scen2Bonus*AF25,0)</f>
        <v>0</v>
      </c>
      <c r="AQ25" s="55">
        <f>IF(VLOOKUP(A25,'Data &amp; Formulae'!$A$11:$F$91,6,0)="Y",ClaimFundProp*AF25+AP25,0)</f>
        <v>0</v>
      </c>
      <c r="AR25" s="55">
        <f t="shared" si="6"/>
        <v>0</v>
      </c>
      <c r="AS25" s="55">
        <f t="shared" si="13"/>
        <v>0</v>
      </c>
      <c r="AT25" s="60"/>
      <c r="AU25" s="71">
        <f>IF(VLOOKUP(A25,'Data &amp; Formulae'!$A$11:$F$91,6,0)="Y",SurrPay*AF25,0)</f>
        <v>0</v>
      </c>
      <c r="AV25" s="73"/>
      <c r="AX25" s="4" t="b">
        <f t="shared" si="7"/>
        <v>1</v>
      </c>
      <c r="AY25" s="89" t="e">
        <f>(S25/(R25+H25)-1)-VLOOKUP(AY$3,'Returns &amp; Bonus'!$A$5:$B$15,2,0)</f>
        <v>#DIV/0!</v>
      </c>
      <c r="AZ25" s="89">
        <f>(T25/(S25+I25)-1)-VLOOKUP(AZ$3,'Returns &amp; Bonus'!$A$5:$B$15,2,0)</f>
        <v>0</v>
      </c>
      <c r="BA25" s="89">
        <f>(U25/(T25+J25)-1)-VLOOKUP(BA$3,'Returns &amp; Bonus'!$A$5:$B$15,2,0)</f>
        <v>0</v>
      </c>
      <c r="BB25" s="89">
        <f>(V25/(U25+K25)-1)-VLOOKUP(BB$3,'Returns &amp; Bonus'!$A$5:$B$15,2,0)</f>
        <v>0</v>
      </c>
      <c r="BC25" s="89">
        <f>(W25/(V25+L25)-1)-VLOOKUP(BC$3,'Returns &amp; Bonus'!$A$5:$B$15,2,0)</f>
        <v>0</v>
      </c>
      <c r="BD25" s="89">
        <f>(X25/(W25+M25)-1)-VLOOKUP(BD$3,'Returns &amp; Bonus'!$A$5:$B$15,2,0)</f>
        <v>9.3675067702747583E-17</v>
      </c>
      <c r="BE25" s="89">
        <f>(Y25/(X25+N25)-1)-VLOOKUP(BE$3,'Returns &amp; Bonus'!$A$5:$B$15,2,0)</f>
        <v>0</v>
      </c>
      <c r="BF25" s="89">
        <f>(Z25/(Y25+O25)-1)-VLOOKUP(BF$3,'Returns &amp; Bonus'!$A$5:$B$15,2,0)</f>
        <v>0</v>
      </c>
      <c r="BG25" s="89">
        <f>(AA25/(Z25+P25)-1)-VLOOKUP(BG$3,'Returns &amp; Bonus'!$A$5:$B$15,2,0)</f>
        <v>0</v>
      </c>
      <c r="BH25" s="89">
        <f>(AB25/(AA25+Q25)-1)-VLOOKUP(BH$3,'Returns &amp; Bonus'!$A$5:$B$15,2,0)</f>
        <v>0</v>
      </c>
    </row>
    <row r="26" spans="1:60" x14ac:dyDescent="0.25">
      <c r="A26" s="77">
        <f>'Amended Data'!A26</f>
        <v>23</v>
      </c>
      <c r="B26" s="75">
        <f>'Amended Data'!K26</f>
        <v>40909</v>
      </c>
      <c r="C26" s="55">
        <f>'Amended Data'!J26</f>
        <v>9901</v>
      </c>
      <c r="D26" s="56">
        <f>'Amended Data'!L26</f>
        <v>22</v>
      </c>
      <c r="E26" s="57">
        <f>'Amended Data'!M26</f>
        <v>1907.4474999999998</v>
      </c>
      <c r="F26" s="57" t="str">
        <f>'Data &amp; Formulae'!H34</f>
        <v>Y</v>
      </c>
      <c r="G26" s="57">
        <f t="shared" si="14"/>
        <v>0</v>
      </c>
      <c r="H26" s="57">
        <f t="shared" si="14"/>
        <v>0</v>
      </c>
      <c r="I26" s="57">
        <f t="shared" si="14"/>
        <v>9901</v>
      </c>
      <c r="J26" s="57">
        <f t="shared" si="14"/>
        <v>9901</v>
      </c>
      <c r="K26" s="57">
        <f t="shared" si="14"/>
        <v>9901</v>
      </c>
      <c r="L26" s="57">
        <f t="shared" si="14"/>
        <v>9901</v>
      </c>
      <c r="M26" s="57">
        <f t="shared" si="14"/>
        <v>9901</v>
      </c>
      <c r="N26" s="57">
        <f t="shared" si="14"/>
        <v>9901</v>
      </c>
      <c r="O26" s="57">
        <f t="shared" si="14"/>
        <v>9901</v>
      </c>
      <c r="P26" s="57">
        <f t="shared" si="14"/>
        <v>9901</v>
      </c>
      <c r="Q26" s="57">
        <f t="shared" si="14"/>
        <v>9901</v>
      </c>
      <c r="R26" s="57">
        <f>IF(R$3=2010,G26*(1+VLOOKUP(R$3,'Returns &amp; Bonus'!$A$5:$B$15,2,0)),(G26+Q26)*(1+VLOOKUP(R$3,'Returns &amp; Bonus'!$A$5:$B$15,2,0)))</f>
        <v>0</v>
      </c>
      <c r="S26" s="57">
        <f>IF(S$3=2010,H26*(1+VLOOKUP(S$3,'Returns &amp; Bonus'!$A$5:$B$15,2,0)),(H26+R26)*(1+VLOOKUP(S$3,'Returns &amp; Bonus'!$A$5:$B$15,2,0)))</f>
        <v>0</v>
      </c>
      <c r="T26" s="57">
        <f>IF(T$3=2010,I26*(1+VLOOKUP(T$3,'Returns &amp; Bonus'!$A$5:$B$15,2,0)),(I26+S26)*(1+VLOOKUP(T$3,'Returns &amp; Bonus'!$A$5:$B$15,2,0)))</f>
        <v>11881.199999999999</v>
      </c>
      <c r="U26" s="57">
        <f>IF(U$3=2010,J26*(1+VLOOKUP(U$3,'Returns &amp; Bonus'!$A$5:$B$15,2,0)),(J26+T26)*(1+VLOOKUP(U$3,'Returns &amp; Bonus'!$A$5:$B$15,2,0)))</f>
        <v>27009.927999999996</v>
      </c>
      <c r="V26" s="57">
        <f>IF(V$3=2010,K26*(1+VLOOKUP(V$3,'Returns &amp; Bonus'!$A$5:$B$15,2,0)),(K26+U26)*(1+VLOOKUP(V$3,'Returns &amp; Bonus'!$A$5:$B$15,2,0)))</f>
        <v>36541.818720000003</v>
      </c>
      <c r="W26" s="57">
        <f>IF(W$3=2010,L26*(1+VLOOKUP(W$3,'Returns &amp; Bonus'!$A$5:$B$15,2,0)),(L26+V26)*(1+VLOOKUP(W$3,'Returns &amp; Bonus'!$A$5:$B$15,2,0)))</f>
        <v>59911.236148800002</v>
      </c>
      <c r="X26" s="57">
        <f>IF(X$3=2010,M26*(1+VLOOKUP(X$3,'Returns &amp; Bonus'!$A$5:$B$15,2,0)),(M26+W26)*(1+VLOOKUP(X$3,'Returns &amp; Bonus'!$A$5:$B$15,2,0)))</f>
        <v>68415.991425824002</v>
      </c>
      <c r="Y26" s="57">
        <f>IF(Y$3=2010,N26*(1+VLOOKUP(Y$3,'Returns &amp; Bonus'!$A$5:$B$15,2,0)),(N26+X26)*(1+VLOOKUP(Y$3,'Returns &amp; Bonus'!$A$5:$B$15,2,0)))</f>
        <v>74401.141854532805</v>
      </c>
      <c r="Z26" s="57">
        <f>IF(Z$3=2010,O26*(1+VLOOKUP(Z$3,'Returns &amp; Bonus'!$A$5:$B$15,2,0)),(O26+Y26)*(1+VLOOKUP(Z$3,'Returns &amp; Bonus'!$A$5:$B$15,2,0)))</f>
        <v>95261.420295622054</v>
      </c>
      <c r="AA26" s="57">
        <f>IF(AA$3=2010,P26*(1+VLOOKUP(AA$3,'Returns &amp; Bonus'!$A$5:$B$15,2,0)),(P26+Z26)*(1+VLOOKUP(AA$3,'Returns &amp; Bonus'!$A$5:$B$15,2,0)))</f>
        <v>116730.2865281405</v>
      </c>
      <c r="AB26" s="81">
        <f>IF(AB$3=2010,Q26*(1+VLOOKUP(AB$3,'Returns &amp; Bonus'!$A$5:$B$15,2,0)),(Q26+AA26)*(1+VLOOKUP(AB$3,'Returns &amp; Bonus'!$A$5:$B$15,2,0)))</f>
        <v>124098.66079757769</v>
      </c>
      <c r="AC26" s="85"/>
      <c r="AD26" s="58">
        <f t="shared" si="2"/>
        <v>122191.21329757769</v>
      </c>
      <c r="AE26" s="58">
        <f t="shared" si="3"/>
        <v>0</v>
      </c>
      <c r="AF26" s="58">
        <f t="shared" si="9"/>
        <v>1907.4474999999998</v>
      </c>
      <c r="AG26" s="58">
        <f t="shared" si="10"/>
        <v>122191.21329757769</v>
      </c>
      <c r="AH26" s="55">
        <f>IF(VLOOKUP(A26,'Data &amp; Formulae'!$A$11:$F$91,6,0)="Y",BonusFundProp*AF26*VLOOKUP(YEAR(B26),'Returns &amp; Bonus'!$G$4:$I$15,3,0),0)</f>
        <v>438.71292499999993</v>
      </c>
      <c r="AI26" s="55">
        <f>IF(VLOOKUP(A26,'Data &amp; Formulae'!$A$11:$F$91,6,0)="Y",ClaimFundProp*AF26+AH26,0)</f>
        <v>1964.6709249999999</v>
      </c>
      <c r="AJ26" s="55">
        <f t="shared" si="4"/>
        <v>1964.6709249999999</v>
      </c>
      <c r="AK26" s="55">
        <f t="shared" si="11"/>
        <v>-57.223425000000134</v>
      </c>
      <c r="AL26" s="60"/>
      <c r="AM26" s="71">
        <f t="shared" si="5"/>
        <v>1964.6709249999999</v>
      </c>
      <c r="AN26" s="55">
        <f t="shared" si="12"/>
        <v>-57.223425000000134</v>
      </c>
      <c r="AO26" s="60"/>
      <c r="AP26" s="71">
        <f>IF(VLOOKUP(A26,'Data &amp; Formulae'!$A$11:$F$91,6,0)="Y",Scen2Bonus*AF26,0)</f>
        <v>400.56397499999991</v>
      </c>
      <c r="AQ26" s="55">
        <f>IF(VLOOKUP(A26,'Data &amp; Formulae'!$A$11:$F$91,6,0)="Y",ClaimFundProp*AF26+AP26,0)</f>
        <v>1926.5219749999997</v>
      </c>
      <c r="AR26" s="55">
        <f t="shared" si="6"/>
        <v>1926.5219749999997</v>
      </c>
      <c r="AS26" s="55">
        <f t="shared" si="13"/>
        <v>-19.074474999999893</v>
      </c>
      <c r="AT26" s="60"/>
      <c r="AU26" s="71">
        <f>IF(VLOOKUP(A26,'Data &amp; Formulae'!$A$11:$F$91,6,0)="Y",SurrPay*AF26,0)</f>
        <v>47.686187499999996</v>
      </c>
      <c r="AV26" s="73"/>
      <c r="AX26" s="4" t="b">
        <f t="shared" si="7"/>
        <v>1</v>
      </c>
      <c r="AY26" s="89" t="e">
        <f>(S26/(R26+H26)-1)-VLOOKUP(AY$3,'Returns &amp; Bonus'!$A$5:$B$15,2,0)</f>
        <v>#DIV/0!</v>
      </c>
      <c r="AZ26" s="89">
        <f>(T26/(S26+I26)-1)-VLOOKUP(AZ$3,'Returns &amp; Bonus'!$A$5:$B$15,2,0)</f>
        <v>0</v>
      </c>
      <c r="BA26" s="89">
        <f>(U26/(T26+J26)-1)-VLOOKUP(BA$3,'Returns &amp; Bonus'!$A$5:$B$15,2,0)</f>
        <v>0</v>
      </c>
      <c r="BB26" s="89">
        <f>(V26/(U26+K26)-1)-VLOOKUP(BB$3,'Returns &amp; Bonus'!$A$5:$B$15,2,0)</f>
        <v>1.0234868508263162E-16</v>
      </c>
      <c r="BC26" s="89">
        <f>(W26/(V26+L26)-1)-VLOOKUP(BC$3,'Returns &amp; Bonus'!$A$5:$B$15,2,0)</f>
        <v>0</v>
      </c>
      <c r="BD26" s="89">
        <f>(X26/(W26+M26)-1)-VLOOKUP(BD$3,'Returns &amp; Bonus'!$A$5:$B$15,2,0)</f>
        <v>0</v>
      </c>
      <c r="BE26" s="89">
        <f>(Y26/(X26+N26)-1)-VLOOKUP(BE$3,'Returns &amp; Bonus'!$A$5:$B$15,2,0)</f>
        <v>6.9388939039072284E-17</v>
      </c>
      <c r="BF26" s="89">
        <f>(Z26/(Y26+O26)-1)-VLOOKUP(BF$3,'Returns &amp; Bonus'!$A$5:$B$15,2,0)</f>
        <v>0</v>
      </c>
      <c r="BG26" s="89">
        <f>(AA26/(Z26+P26)-1)-VLOOKUP(BG$3,'Returns &amp; Bonus'!$A$5:$B$15,2,0)</f>
        <v>0</v>
      </c>
      <c r="BH26" s="89">
        <f>(AB26/(AA26+Q26)-1)-VLOOKUP(BH$3,'Returns &amp; Bonus'!$A$5:$B$15,2,0)</f>
        <v>0</v>
      </c>
    </row>
    <row r="27" spans="1:60" x14ac:dyDescent="0.25">
      <c r="A27" s="77">
        <f>'Amended Data'!A27</f>
        <v>24</v>
      </c>
      <c r="B27" s="75">
        <f>'Amended Data'!K27</f>
        <v>40909</v>
      </c>
      <c r="C27" s="55">
        <f>'Amended Data'!J27</f>
        <v>6786</v>
      </c>
      <c r="D27" s="56">
        <f>'Amended Data'!L27</f>
        <v>14</v>
      </c>
      <c r="E27" s="57">
        <f>'Amended Data'!M27</f>
        <v>90055</v>
      </c>
      <c r="F27" s="57" t="str">
        <f>'Data &amp; Formulae'!H35</f>
        <v>N</v>
      </c>
      <c r="G27" s="57">
        <f t="shared" si="14"/>
        <v>0</v>
      </c>
      <c r="H27" s="57">
        <f t="shared" si="14"/>
        <v>0</v>
      </c>
      <c r="I27" s="57">
        <f t="shared" si="14"/>
        <v>6786</v>
      </c>
      <c r="J27" s="57">
        <f t="shared" si="14"/>
        <v>6786</v>
      </c>
      <c r="K27" s="57">
        <f t="shared" si="14"/>
        <v>6786</v>
      </c>
      <c r="L27" s="57">
        <f t="shared" si="14"/>
        <v>6786</v>
      </c>
      <c r="M27" s="57">
        <f t="shared" si="14"/>
        <v>6786</v>
      </c>
      <c r="N27" s="57">
        <f t="shared" si="14"/>
        <v>6786</v>
      </c>
      <c r="O27" s="57">
        <f t="shared" si="14"/>
        <v>6786</v>
      </c>
      <c r="P27" s="57">
        <f t="shared" si="14"/>
        <v>6786</v>
      </c>
      <c r="Q27" s="57">
        <f t="shared" si="14"/>
        <v>6786</v>
      </c>
      <c r="R27" s="57">
        <f>IF(R$3=2010,G27*(1+VLOOKUP(R$3,'Returns &amp; Bonus'!$A$5:$B$15,2,0)),(G27+Q27)*(1+VLOOKUP(R$3,'Returns &amp; Bonus'!$A$5:$B$15,2,0)))</f>
        <v>0</v>
      </c>
      <c r="S27" s="57">
        <f>IF(S$3=2010,H27*(1+VLOOKUP(S$3,'Returns &amp; Bonus'!$A$5:$B$15,2,0)),(H27+R27)*(1+VLOOKUP(S$3,'Returns &amp; Bonus'!$A$5:$B$15,2,0)))</f>
        <v>0</v>
      </c>
      <c r="T27" s="57">
        <f>IF(T$3=2010,I27*(1+VLOOKUP(T$3,'Returns &amp; Bonus'!$A$5:$B$15,2,0)),(I27+S27)*(1+VLOOKUP(T$3,'Returns &amp; Bonus'!$A$5:$B$15,2,0)))</f>
        <v>8143.2</v>
      </c>
      <c r="U27" s="57">
        <f>IF(U$3=2010,J27*(1+VLOOKUP(U$3,'Returns &amp; Bonus'!$A$5:$B$15,2,0)),(J27+T27)*(1+VLOOKUP(U$3,'Returns &amp; Bonus'!$A$5:$B$15,2,0)))</f>
        <v>18512.208000000002</v>
      </c>
      <c r="V27" s="57">
        <f>IF(V$3=2010,K27*(1+VLOOKUP(V$3,'Returns &amp; Bonus'!$A$5:$B$15,2,0)),(K27+U27)*(1+VLOOKUP(V$3,'Returns &amp; Bonus'!$A$5:$B$15,2,0)))</f>
        <v>25045.225920000001</v>
      </c>
      <c r="W27" s="57">
        <f>IF(W$3=2010,L27*(1+VLOOKUP(W$3,'Returns &amp; Bonus'!$A$5:$B$15,2,0)),(L27+V27)*(1+VLOOKUP(W$3,'Returns &amp; Bonus'!$A$5:$B$15,2,0)))</f>
        <v>41062.281436800004</v>
      </c>
      <c r="X27" s="57">
        <f>IF(X$3=2010,M27*(1+VLOOKUP(X$3,'Returns &amp; Bonus'!$A$5:$B$15,2,0)),(M27+W27)*(1+VLOOKUP(X$3,'Returns &amp; Bonus'!$A$5:$B$15,2,0)))</f>
        <v>46891.315808064006</v>
      </c>
      <c r="Y27" s="57">
        <f>IF(Y$3=2010,N27*(1+VLOOKUP(Y$3,'Returns &amp; Bonus'!$A$5:$B$15,2,0)),(N27+X27)*(1+VLOOKUP(Y$3,'Returns &amp; Bonus'!$A$5:$B$15,2,0)))</f>
        <v>50993.450017660805</v>
      </c>
      <c r="Z27" s="57">
        <f>IF(Z$3=2010,O27*(1+VLOOKUP(Z$3,'Returns &amp; Bonus'!$A$5:$B$15,2,0)),(O27+Y27)*(1+VLOOKUP(Z$3,'Returns &amp; Bonus'!$A$5:$B$15,2,0)))</f>
        <v>65290.778519956701</v>
      </c>
      <c r="AA27" s="57">
        <f>IF(AA$3=2010,P27*(1+VLOOKUP(AA$3,'Returns &amp; Bonus'!$A$5:$B$15,2,0)),(P27+Z27)*(1+VLOOKUP(AA$3,'Returns &amp; Bonus'!$A$5:$B$15,2,0)))</f>
        <v>80005.224157151941</v>
      </c>
      <c r="AB27" s="81">
        <f>IF(AB$3=2010,Q27*(1+VLOOKUP(AB$3,'Returns &amp; Bonus'!$A$5:$B$15,2,0)),(Q27+AA27)*(1+VLOOKUP(AB$3,'Returns &amp; Bonus'!$A$5:$B$15,2,0)))</f>
        <v>85055.399674008906</v>
      </c>
      <c r="AC27" s="85"/>
      <c r="AD27" s="58">
        <f t="shared" si="2"/>
        <v>-4999.600325991094</v>
      </c>
      <c r="AE27" s="58" t="str">
        <f t="shared" si="3"/>
        <v>ERROR</v>
      </c>
      <c r="AF27" s="58">
        <f t="shared" si="9"/>
        <v>85055.399674008906</v>
      </c>
      <c r="AG27" s="58">
        <f t="shared" si="10"/>
        <v>0</v>
      </c>
      <c r="AH27" s="55">
        <f>IF(VLOOKUP(A27,'Data &amp; Formulae'!$A$11:$F$91,6,0)="Y",BonusFundProp*AF27*VLOOKUP(YEAR(B27),'Returns &amp; Bonus'!$G$4:$I$15,3,0),0)</f>
        <v>19562.741925022048</v>
      </c>
      <c r="AI27" s="55">
        <f>IF(VLOOKUP(A27,'Data &amp; Formulae'!$A$11:$F$91,6,0)="Y",ClaimFundProp*AF27+AH27,0)</f>
        <v>87607.061664229172</v>
      </c>
      <c r="AJ27" s="55">
        <f t="shared" si="4"/>
        <v>87607.061664229172</v>
      </c>
      <c r="AK27" s="55">
        <f t="shared" si="11"/>
        <v>-2551.6619902202656</v>
      </c>
      <c r="AL27" s="60"/>
      <c r="AM27" s="71">
        <f t="shared" si="5"/>
        <v>85503.6</v>
      </c>
      <c r="AN27" s="55">
        <f t="shared" si="12"/>
        <v>-448.20032599109982</v>
      </c>
      <c r="AO27" s="60"/>
      <c r="AP27" s="71">
        <f>IF(VLOOKUP(A27,'Data &amp; Formulae'!$A$11:$F$91,6,0)="Y",Scen2Bonus*AF27,0)</f>
        <v>17861.63393154187</v>
      </c>
      <c r="AQ27" s="55">
        <f>IF(VLOOKUP(A27,'Data &amp; Formulae'!$A$11:$F$91,6,0)="Y",ClaimFundProp*AF27+AP27,0)</f>
        <v>85905.953670749004</v>
      </c>
      <c r="AR27" s="55">
        <f t="shared" si="6"/>
        <v>85905.953670749004</v>
      </c>
      <c r="AS27" s="55">
        <f t="shared" si="13"/>
        <v>-850.55399674009823</v>
      </c>
      <c r="AT27" s="60"/>
      <c r="AU27" s="71">
        <f>IF(VLOOKUP(A27,'Data &amp; Formulae'!$A$11:$F$91,6,0)="Y",SurrPay*AF27,0)</f>
        <v>2126.3849918502228</v>
      </c>
      <c r="AV27" s="73"/>
      <c r="AX27" s="4" t="b">
        <f t="shared" si="7"/>
        <v>1</v>
      </c>
      <c r="AY27" s="89" t="e">
        <f>(S27/(R27+H27)-1)-VLOOKUP(AY$3,'Returns &amp; Bonus'!$A$5:$B$15,2,0)</f>
        <v>#DIV/0!</v>
      </c>
      <c r="AZ27" s="89">
        <f>(T27/(S27+I27)-1)-VLOOKUP(AZ$3,'Returns &amp; Bonus'!$A$5:$B$15,2,0)</f>
        <v>0</v>
      </c>
      <c r="BA27" s="89">
        <f>(U27/(T27+J27)-1)-VLOOKUP(BA$3,'Returns &amp; Bonus'!$A$5:$B$15,2,0)</f>
        <v>0</v>
      </c>
      <c r="BB27" s="89">
        <f>(V27/(U27+K27)-1)-VLOOKUP(BB$3,'Returns &amp; Bonus'!$A$5:$B$15,2,0)</f>
        <v>0</v>
      </c>
      <c r="BC27" s="89">
        <f>(W27/(V27+L27)-1)-VLOOKUP(BC$3,'Returns &amp; Bonus'!$A$5:$B$15,2,0)</f>
        <v>0</v>
      </c>
      <c r="BD27" s="89">
        <f>(X27/(W27+M27)-1)-VLOOKUP(BD$3,'Returns &amp; Bonus'!$A$5:$B$15,2,0)</f>
        <v>9.3675067702747583E-17</v>
      </c>
      <c r="BE27" s="89">
        <f>(Y27/(X27+N27)-1)-VLOOKUP(BE$3,'Returns &amp; Bonus'!$A$5:$B$15,2,0)</f>
        <v>0</v>
      </c>
      <c r="BF27" s="89">
        <f>(Z27/(Y27+O27)-1)-VLOOKUP(BF$3,'Returns &amp; Bonus'!$A$5:$B$15,2,0)</f>
        <v>0</v>
      </c>
      <c r="BG27" s="89">
        <f>(AA27/(Z27+P27)-1)-VLOOKUP(BG$3,'Returns &amp; Bonus'!$A$5:$B$15,2,0)</f>
        <v>0</v>
      </c>
      <c r="BH27" s="89">
        <f>(AB27/(AA27+Q27)-1)-VLOOKUP(BH$3,'Returns &amp; Bonus'!$A$5:$B$15,2,0)</f>
        <v>9.3675067702747583E-17</v>
      </c>
    </row>
    <row r="28" spans="1:60" x14ac:dyDescent="0.25">
      <c r="A28" s="77">
        <f>'Amended Data'!A28</f>
        <v>25</v>
      </c>
      <c r="B28" s="75">
        <f>'Amended Data'!K28</f>
        <v>40909</v>
      </c>
      <c r="C28" s="55">
        <f>'Amended Data'!J28</f>
        <v>5450</v>
      </c>
      <c r="D28" s="56">
        <f>'Amended Data'!L28</f>
        <v>16</v>
      </c>
      <c r="E28" s="57">
        <f>'Amended Data'!M28</f>
        <v>10244.674999999997</v>
      </c>
      <c r="F28" s="57" t="str">
        <f>'Data &amp; Formulae'!H36</f>
        <v>Y</v>
      </c>
      <c r="G28" s="57">
        <f t="shared" si="14"/>
        <v>0</v>
      </c>
      <c r="H28" s="57">
        <f t="shared" si="14"/>
        <v>0</v>
      </c>
      <c r="I28" s="57">
        <f t="shared" si="14"/>
        <v>5450</v>
      </c>
      <c r="J28" s="57">
        <f t="shared" si="14"/>
        <v>5450</v>
      </c>
      <c r="K28" s="57">
        <f t="shared" si="14"/>
        <v>5450</v>
      </c>
      <c r="L28" s="57">
        <f t="shared" si="14"/>
        <v>5450</v>
      </c>
      <c r="M28" s="57">
        <f t="shared" si="14"/>
        <v>5450</v>
      </c>
      <c r="N28" s="57">
        <f t="shared" si="14"/>
        <v>5450</v>
      </c>
      <c r="O28" s="57">
        <f t="shared" si="14"/>
        <v>5450</v>
      </c>
      <c r="P28" s="57">
        <f t="shared" si="14"/>
        <v>5450</v>
      </c>
      <c r="Q28" s="57">
        <f t="shared" si="14"/>
        <v>5450</v>
      </c>
      <c r="R28" s="57">
        <f>IF(R$3=2010,G28*(1+VLOOKUP(R$3,'Returns &amp; Bonus'!$A$5:$B$15,2,0)),(G28+Q28)*(1+VLOOKUP(R$3,'Returns &amp; Bonus'!$A$5:$B$15,2,0)))</f>
        <v>0</v>
      </c>
      <c r="S28" s="57">
        <f>IF(S$3=2010,H28*(1+VLOOKUP(S$3,'Returns &amp; Bonus'!$A$5:$B$15,2,0)),(H28+R28)*(1+VLOOKUP(S$3,'Returns &amp; Bonus'!$A$5:$B$15,2,0)))</f>
        <v>0</v>
      </c>
      <c r="T28" s="57">
        <f>IF(T$3=2010,I28*(1+VLOOKUP(T$3,'Returns &amp; Bonus'!$A$5:$B$15,2,0)),(I28+S28)*(1+VLOOKUP(T$3,'Returns &amp; Bonus'!$A$5:$B$15,2,0)))</f>
        <v>6540</v>
      </c>
      <c r="U28" s="57">
        <f>IF(U$3=2010,J28*(1+VLOOKUP(U$3,'Returns &amp; Bonus'!$A$5:$B$15,2,0)),(J28+T28)*(1+VLOOKUP(U$3,'Returns &amp; Bonus'!$A$5:$B$15,2,0)))</f>
        <v>14867.6</v>
      </c>
      <c r="V28" s="57">
        <f>IF(V$3=2010,K28*(1+VLOOKUP(V$3,'Returns &amp; Bonus'!$A$5:$B$15,2,0)),(K28+U28)*(1+VLOOKUP(V$3,'Returns &amp; Bonus'!$A$5:$B$15,2,0)))</f>
        <v>20114.423999999999</v>
      </c>
      <c r="W28" s="57">
        <f>IF(W$3=2010,L28*(1+VLOOKUP(W$3,'Returns &amp; Bonus'!$A$5:$B$15,2,0)),(L28+V28)*(1+VLOOKUP(W$3,'Returns &amp; Bonus'!$A$5:$B$15,2,0)))</f>
        <v>32978.106959999997</v>
      </c>
      <c r="X28" s="57">
        <f>IF(X$3=2010,M28*(1+VLOOKUP(X$3,'Returns &amp; Bonus'!$A$5:$B$15,2,0)),(M28+W28)*(1+VLOOKUP(X$3,'Returns &amp; Bonus'!$A$5:$B$15,2,0)))</f>
        <v>37659.544820799994</v>
      </c>
      <c r="Y28" s="57">
        <f>IF(Y$3=2010,N28*(1+VLOOKUP(Y$3,'Returns &amp; Bonus'!$A$5:$B$15,2,0)),(N28+X28)*(1+VLOOKUP(Y$3,'Returns &amp; Bonus'!$A$5:$B$15,2,0)))</f>
        <v>40954.067579759991</v>
      </c>
      <c r="Z28" s="57">
        <f>IF(Z$3=2010,O28*(1+VLOOKUP(Z$3,'Returns &amp; Bonus'!$A$5:$B$15,2,0)),(O28+Y28)*(1+VLOOKUP(Z$3,'Returns &amp; Bonus'!$A$5:$B$15,2,0)))</f>
        <v>52436.596365128782</v>
      </c>
      <c r="AA28" s="57">
        <f>IF(AA$3=2010,P28*(1+VLOOKUP(AA$3,'Returns &amp; Bonus'!$A$5:$B$15,2,0)),(P28+Z28)*(1+VLOOKUP(AA$3,'Returns &amp; Bonus'!$A$5:$B$15,2,0)))</f>
        <v>64254.12196529295</v>
      </c>
      <c r="AB28" s="81">
        <f>IF(AB$3=2010,Q28*(1+VLOOKUP(AB$3,'Returns &amp; Bonus'!$A$5:$B$15,2,0)),(Q28+AA28)*(1+VLOOKUP(AB$3,'Returns &amp; Bonus'!$A$5:$B$15,2,0)))</f>
        <v>68310.0395259871</v>
      </c>
      <c r="AC28" s="85"/>
      <c r="AD28" s="58">
        <f t="shared" si="2"/>
        <v>58065.364525987105</v>
      </c>
      <c r="AE28" s="58">
        <f t="shared" si="3"/>
        <v>0</v>
      </c>
      <c r="AF28" s="58">
        <f t="shared" si="9"/>
        <v>10244.674999999997</v>
      </c>
      <c r="AG28" s="58">
        <f t="shared" si="10"/>
        <v>58065.364525987105</v>
      </c>
      <c r="AH28" s="55">
        <f>IF(VLOOKUP(A28,'Data &amp; Formulae'!$A$11:$F$91,6,0)="Y",BonusFundProp*AF28*VLOOKUP(YEAR(B28),'Returns &amp; Bonus'!$G$4:$I$15,3,0),0)</f>
        <v>0</v>
      </c>
      <c r="AI28" s="55">
        <f>IF(VLOOKUP(A28,'Data &amp; Formulae'!$A$11:$F$91,6,0)="Y",ClaimFundProp*AF28+AH28,0)</f>
        <v>0</v>
      </c>
      <c r="AJ28" s="55">
        <f t="shared" si="4"/>
        <v>0</v>
      </c>
      <c r="AK28" s="55">
        <f t="shared" si="11"/>
        <v>0</v>
      </c>
      <c r="AL28" s="60"/>
      <c r="AM28" s="71">
        <f t="shared" si="5"/>
        <v>0</v>
      </c>
      <c r="AN28" s="55">
        <f t="shared" si="12"/>
        <v>0</v>
      </c>
      <c r="AO28" s="60"/>
      <c r="AP28" s="71">
        <f>IF(VLOOKUP(A28,'Data &amp; Formulae'!$A$11:$F$91,6,0)="Y",Scen2Bonus*AF28,0)</f>
        <v>0</v>
      </c>
      <c r="AQ28" s="55">
        <f>IF(VLOOKUP(A28,'Data &amp; Formulae'!$A$11:$F$91,6,0)="Y",ClaimFundProp*AF28+AP28,0)</f>
        <v>0</v>
      </c>
      <c r="AR28" s="55">
        <f t="shared" si="6"/>
        <v>0</v>
      </c>
      <c r="AS28" s="55">
        <f t="shared" si="13"/>
        <v>0</v>
      </c>
      <c r="AT28" s="60"/>
      <c r="AU28" s="71">
        <f>IF(VLOOKUP(A28,'Data &amp; Formulae'!$A$11:$F$91,6,0)="Y",SurrPay*AF28,0)</f>
        <v>0</v>
      </c>
      <c r="AV28" s="73"/>
      <c r="AX28" s="4" t="b">
        <f t="shared" si="7"/>
        <v>1</v>
      </c>
      <c r="AY28" s="89" t="e">
        <f>(S28/(R28+H28)-1)-VLOOKUP(AY$3,'Returns &amp; Bonus'!$A$5:$B$15,2,0)</f>
        <v>#DIV/0!</v>
      </c>
      <c r="AZ28" s="89">
        <f>(T28/(S28+I28)-1)-VLOOKUP(AZ$3,'Returns &amp; Bonus'!$A$5:$B$15,2,0)</f>
        <v>0</v>
      </c>
      <c r="BA28" s="89">
        <f>(U28/(T28+J28)-1)-VLOOKUP(BA$3,'Returns &amp; Bonus'!$A$5:$B$15,2,0)</f>
        <v>0</v>
      </c>
      <c r="BB28" s="89">
        <f>(V28/(U28+K28)-1)-VLOOKUP(BB$3,'Returns &amp; Bonus'!$A$5:$B$15,2,0)</f>
        <v>0</v>
      </c>
      <c r="BC28" s="89">
        <f>(W28/(V28+L28)-1)-VLOOKUP(BC$3,'Returns &amp; Bonus'!$A$5:$B$15,2,0)</f>
        <v>0</v>
      </c>
      <c r="BD28" s="89">
        <f>(X28/(W28+M28)-1)-VLOOKUP(BD$3,'Returns &amp; Bonus'!$A$5:$B$15,2,0)</f>
        <v>-1.2836953722228372E-16</v>
      </c>
      <c r="BE28" s="89">
        <f>(Y28/(X28+N28)-1)-VLOOKUP(BE$3,'Returns &amp; Bonus'!$A$5:$B$15,2,0)</f>
        <v>0</v>
      </c>
      <c r="BF28" s="89">
        <f>(Z28/(Y28+O28)-1)-VLOOKUP(BF$3,'Returns &amp; Bonus'!$A$5:$B$15,2,0)</f>
        <v>0</v>
      </c>
      <c r="BG28" s="89">
        <f>(AA28/(Z28+P28)-1)-VLOOKUP(BG$3,'Returns &amp; Bonus'!$A$5:$B$15,2,0)</f>
        <v>0</v>
      </c>
      <c r="BH28" s="89">
        <f>(AB28/(AA28+Q28)-1)-VLOOKUP(BH$3,'Returns &amp; Bonus'!$A$5:$B$15,2,0)</f>
        <v>0</v>
      </c>
    </row>
    <row r="29" spans="1:60" x14ac:dyDescent="0.25">
      <c r="A29" s="77">
        <f>'Amended Data'!A29</f>
        <v>26</v>
      </c>
      <c r="B29" s="75">
        <f>'Amended Data'!K29</f>
        <v>41275</v>
      </c>
      <c r="C29" s="55">
        <f>'Amended Data'!J29</f>
        <v>6059</v>
      </c>
      <c r="D29" s="56">
        <f>'Amended Data'!L29</f>
        <v>21</v>
      </c>
      <c r="E29" s="57">
        <f>'Amended Data'!M29</f>
        <v>15257.374999999998</v>
      </c>
      <c r="F29" s="57" t="str">
        <f>'Data &amp; Formulae'!H37</f>
        <v>Y</v>
      </c>
      <c r="G29" s="57">
        <f t="shared" si="14"/>
        <v>0</v>
      </c>
      <c r="H29" s="57">
        <f t="shared" si="14"/>
        <v>0</v>
      </c>
      <c r="I29" s="57">
        <f t="shared" si="14"/>
        <v>0</v>
      </c>
      <c r="J29" s="57">
        <f t="shared" si="14"/>
        <v>6059</v>
      </c>
      <c r="K29" s="57">
        <f t="shared" si="14"/>
        <v>6059</v>
      </c>
      <c r="L29" s="57">
        <f t="shared" si="14"/>
        <v>6059</v>
      </c>
      <c r="M29" s="57">
        <f t="shared" si="14"/>
        <v>6059</v>
      </c>
      <c r="N29" s="57">
        <f t="shared" si="14"/>
        <v>6059</v>
      </c>
      <c r="O29" s="57">
        <f t="shared" si="14"/>
        <v>6059</v>
      </c>
      <c r="P29" s="57">
        <f t="shared" si="14"/>
        <v>6059</v>
      </c>
      <c r="Q29" s="57">
        <f t="shared" si="14"/>
        <v>6059</v>
      </c>
      <c r="R29" s="57">
        <f>IF(R$3=2010,G29*(1+VLOOKUP(R$3,'Returns &amp; Bonus'!$A$5:$B$15,2,0)),(G29+Q29)*(1+VLOOKUP(R$3,'Returns &amp; Bonus'!$A$5:$B$15,2,0)))</f>
        <v>0</v>
      </c>
      <c r="S29" s="57">
        <f>IF(S$3=2010,H29*(1+VLOOKUP(S$3,'Returns &amp; Bonus'!$A$5:$B$15,2,0)),(H29+R29)*(1+VLOOKUP(S$3,'Returns &amp; Bonus'!$A$5:$B$15,2,0)))</f>
        <v>0</v>
      </c>
      <c r="T29" s="57">
        <f>IF(T$3=2010,I29*(1+VLOOKUP(T$3,'Returns &amp; Bonus'!$A$5:$B$15,2,0)),(I29+S29)*(1+VLOOKUP(T$3,'Returns &amp; Bonus'!$A$5:$B$15,2,0)))</f>
        <v>0</v>
      </c>
      <c r="U29" s="57">
        <f>IF(U$3=2010,J29*(1+VLOOKUP(U$3,'Returns &amp; Bonus'!$A$5:$B$15,2,0)),(J29+T29)*(1+VLOOKUP(U$3,'Returns &amp; Bonus'!$A$5:$B$15,2,0)))</f>
        <v>7513.16</v>
      </c>
      <c r="V29" s="57">
        <f>IF(V$3=2010,K29*(1+VLOOKUP(V$3,'Returns &amp; Bonus'!$A$5:$B$15,2,0)),(K29+U29)*(1+VLOOKUP(V$3,'Returns &amp; Bonus'!$A$5:$B$15,2,0)))</f>
        <v>13436.438399999999</v>
      </c>
      <c r="W29" s="57">
        <f>IF(W$3=2010,L29*(1+VLOOKUP(W$3,'Returns &amp; Bonus'!$A$5:$B$15,2,0)),(L29+V29)*(1+VLOOKUP(W$3,'Returns &amp; Bonus'!$A$5:$B$15,2,0)))</f>
        <v>25149.115536000001</v>
      </c>
      <c r="X29" s="57">
        <f>IF(X$3=2010,M29*(1+VLOOKUP(X$3,'Returns &amp; Bonus'!$A$5:$B$15,2,0)),(M29+W29)*(1+VLOOKUP(X$3,'Returns &amp; Bonus'!$A$5:$B$15,2,0)))</f>
        <v>30583.953225280002</v>
      </c>
      <c r="Y29" s="57">
        <f>IF(Y$3=2010,N29*(1+VLOOKUP(Y$3,'Returns &amp; Bonus'!$A$5:$B$15,2,0)),(N29+X29)*(1+VLOOKUP(Y$3,'Returns &amp; Bonus'!$A$5:$B$15,2,0)))</f>
        <v>34810.805564015995</v>
      </c>
      <c r="Z29" s="57">
        <f>IF(Z$3=2010,O29*(1+VLOOKUP(Z$3,'Returns &amp; Bonus'!$A$5:$B$15,2,0)),(O29+Y29)*(1+VLOOKUP(Z$3,'Returns &amp; Bonus'!$A$5:$B$15,2,0)))</f>
        <v>46182.88028733807</v>
      </c>
      <c r="AA29" s="57">
        <f>IF(AA$3=2010,P29*(1+VLOOKUP(AA$3,'Returns &amp; Bonus'!$A$5:$B$15,2,0)),(P29+Z29)*(1+VLOOKUP(AA$3,'Returns &amp; Bonus'!$A$5:$B$15,2,0)))</f>
        <v>57988.487118945261</v>
      </c>
      <c r="AB29" s="81">
        <f>IF(AB$3=2010,Q29*(1+VLOOKUP(AB$3,'Returns &amp; Bonus'!$A$5:$B$15,2,0)),(Q29+AA29)*(1+VLOOKUP(AB$3,'Returns &amp; Bonus'!$A$5:$B$15,2,0)))</f>
        <v>62766.537376566353</v>
      </c>
      <c r="AC29" s="85"/>
      <c r="AD29" s="58">
        <f t="shared" si="2"/>
        <v>47509.162376566353</v>
      </c>
      <c r="AE29" s="58">
        <f t="shared" si="3"/>
        <v>0</v>
      </c>
      <c r="AF29" s="58">
        <f t="shared" si="9"/>
        <v>15257.374999999998</v>
      </c>
      <c r="AG29" s="58">
        <f t="shared" si="10"/>
        <v>47509.162376566353</v>
      </c>
      <c r="AH29" s="55">
        <f>IF(VLOOKUP(A29,'Data &amp; Formulae'!$A$11:$F$91,6,0)="Y",BonusFundProp*AF29*VLOOKUP(YEAR(B29),'Returns &amp; Bonus'!$G$4:$I$15,3,0),0)</f>
        <v>3356.6224999999999</v>
      </c>
      <c r="AI29" s="55">
        <f>IF(VLOOKUP(A29,'Data &amp; Formulae'!$A$11:$F$91,6,0)="Y",ClaimFundProp*AF29+AH29,0)</f>
        <v>15562.522499999999</v>
      </c>
      <c r="AJ29" s="55">
        <f t="shared" si="4"/>
        <v>15562.522499999999</v>
      </c>
      <c r="AK29" s="55">
        <f t="shared" si="11"/>
        <v>-305.14750000000095</v>
      </c>
      <c r="AL29" s="60"/>
      <c r="AM29" s="71">
        <f t="shared" si="5"/>
        <v>15562.522499999999</v>
      </c>
      <c r="AN29" s="55">
        <f t="shared" si="12"/>
        <v>-305.14750000000095</v>
      </c>
      <c r="AO29" s="60"/>
      <c r="AP29" s="71">
        <f>IF(VLOOKUP(A29,'Data &amp; Formulae'!$A$11:$F$91,6,0)="Y",Scen2Bonus*AF29,0)</f>
        <v>3204.0487499999995</v>
      </c>
      <c r="AQ29" s="55">
        <f>IF(VLOOKUP(A29,'Data &amp; Formulae'!$A$11:$F$91,6,0)="Y",ClaimFundProp*AF29+AP29,0)</f>
        <v>15409.94875</v>
      </c>
      <c r="AR29" s="55">
        <f t="shared" si="6"/>
        <v>15409.94875</v>
      </c>
      <c r="AS29" s="55">
        <f t="shared" si="13"/>
        <v>-152.57375000000138</v>
      </c>
      <c r="AT29" s="60"/>
      <c r="AU29" s="71">
        <f>IF(VLOOKUP(A29,'Data &amp; Formulae'!$A$11:$F$91,6,0)="Y",SurrPay*AF29,0)</f>
        <v>381.43437499999999</v>
      </c>
      <c r="AV29" s="73"/>
      <c r="AX29" s="4" t="b">
        <f t="shared" si="7"/>
        <v>1</v>
      </c>
      <c r="AY29" s="89" t="e">
        <f>(S29/(R29+H29)-1)-VLOOKUP(AY$3,'Returns &amp; Bonus'!$A$5:$B$15,2,0)</f>
        <v>#DIV/0!</v>
      </c>
      <c r="AZ29" s="89" t="e">
        <f>(T29/(S29+I29)-1)-VLOOKUP(AZ$3,'Returns &amp; Bonus'!$A$5:$B$15,2,0)</f>
        <v>#DIV/0!</v>
      </c>
      <c r="BA29" s="89">
        <f>(U29/(T29+J29)-1)-VLOOKUP(BA$3,'Returns &amp; Bonus'!$A$5:$B$15,2,0)</f>
        <v>0</v>
      </c>
      <c r="BB29" s="89">
        <f>(V29/(U29+K29)-1)-VLOOKUP(BB$3,'Returns &amp; Bonus'!$A$5:$B$15,2,0)</f>
        <v>0</v>
      </c>
      <c r="BC29" s="89">
        <f>(W29/(V29+L29)-1)-VLOOKUP(BC$3,'Returns &amp; Bonus'!$A$5:$B$15,2,0)</f>
        <v>0</v>
      </c>
      <c r="BD29" s="89">
        <f>(X29/(W29+M29)-1)-VLOOKUP(BD$3,'Returns &amp; Bonus'!$A$5:$B$15,2,0)</f>
        <v>0</v>
      </c>
      <c r="BE29" s="89">
        <f>(Y29/(X29+N29)-1)-VLOOKUP(BE$3,'Returns &amp; Bonus'!$A$5:$B$15,2,0)</f>
        <v>0</v>
      </c>
      <c r="BF29" s="89">
        <f>(Z29/(Y29+O29)-1)-VLOOKUP(BF$3,'Returns &amp; Bonus'!$A$5:$B$15,2,0)</f>
        <v>0</v>
      </c>
      <c r="BG29" s="89">
        <f>(AA29/(Z29+P29)-1)-VLOOKUP(BG$3,'Returns &amp; Bonus'!$A$5:$B$15,2,0)</f>
        <v>0</v>
      </c>
      <c r="BH29" s="89">
        <f>(AB29/(AA29+Q29)-1)-VLOOKUP(BH$3,'Returns &amp; Bonus'!$A$5:$B$15,2,0)</f>
        <v>0</v>
      </c>
    </row>
    <row r="30" spans="1:60" x14ac:dyDescent="0.25">
      <c r="A30" s="77">
        <f>'Amended Data'!A30</f>
        <v>27</v>
      </c>
      <c r="B30" s="75">
        <f>'Amended Data'!K30</f>
        <v>41275</v>
      </c>
      <c r="C30" s="55">
        <f>'Amended Data'!J30</f>
        <v>4626</v>
      </c>
      <c r="D30" s="56">
        <f>'Amended Data'!L30</f>
        <v>27</v>
      </c>
      <c r="E30" s="57">
        <f>'Amended Data'!M30</f>
        <v>5098.9399999999996</v>
      </c>
      <c r="F30" s="57" t="str">
        <f>'Data &amp; Formulae'!H38</f>
        <v>Y</v>
      </c>
      <c r="G30" s="57">
        <f t="shared" si="14"/>
        <v>0</v>
      </c>
      <c r="H30" s="57">
        <f t="shared" si="14"/>
        <v>0</v>
      </c>
      <c r="I30" s="57">
        <f t="shared" si="14"/>
        <v>0</v>
      </c>
      <c r="J30" s="57">
        <f t="shared" si="14"/>
        <v>4626</v>
      </c>
      <c r="K30" s="57">
        <f t="shared" si="14"/>
        <v>4626</v>
      </c>
      <c r="L30" s="57">
        <f t="shared" si="14"/>
        <v>4626</v>
      </c>
      <c r="M30" s="57">
        <f t="shared" si="14"/>
        <v>4626</v>
      </c>
      <c r="N30" s="57">
        <f t="shared" si="14"/>
        <v>4626</v>
      </c>
      <c r="O30" s="57">
        <f t="shared" si="14"/>
        <v>4626</v>
      </c>
      <c r="P30" s="57">
        <f t="shared" si="14"/>
        <v>4626</v>
      </c>
      <c r="Q30" s="57">
        <f t="shared" si="14"/>
        <v>4626</v>
      </c>
      <c r="R30" s="57">
        <f>IF(R$3=2010,G30*(1+VLOOKUP(R$3,'Returns &amp; Bonus'!$A$5:$B$15,2,0)),(G30+Q30)*(1+VLOOKUP(R$3,'Returns &amp; Bonus'!$A$5:$B$15,2,0)))</f>
        <v>0</v>
      </c>
      <c r="S30" s="57">
        <f>IF(S$3=2010,H30*(1+VLOOKUP(S$3,'Returns &amp; Bonus'!$A$5:$B$15,2,0)),(H30+R30)*(1+VLOOKUP(S$3,'Returns &amp; Bonus'!$A$5:$B$15,2,0)))</f>
        <v>0</v>
      </c>
      <c r="T30" s="57">
        <f>IF(T$3=2010,I30*(1+VLOOKUP(T$3,'Returns &amp; Bonus'!$A$5:$B$15,2,0)),(I30+S30)*(1+VLOOKUP(T$3,'Returns &amp; Bonus'!$A$5:$B$15,2,0)))</f>
        <v>0</v>
      </c>
      <c r="U30" s="57">
        <f>IF(U$3=2010,J30*(1+VLOOKUP(U$3,'Returns &amp; Bonus'!$A$5:$B$15,2,0)),(J30+T30)*(1+VLOOKUP(U$3,'Returns &amp; Bonus'!$A$5:$B$15,2,0)))</f>
        <v>5736.24</v>
      </c>
      <c r="V30" s="57">
        <f>IF(V$3=2010,K30*(1+VLOOKUP(V$3,'Returns &amp; Bonus'!$A$5:$B$15,2,0)),(K30+U30)*(1+VLOOKUP(V$3,'Returns &amp; Bonus'!$A$5:$B$15,2,0)))</f>
        <v>10258.6176</v>
      </c>
      <c r="W30" s="57">
        <f>IF(W$3=2010,L30*(1+VLOOKUP(W$3,'Returns &amp; Bonus'!$A$5:$B$15,2,0)),(L30+V30)*(1+VLOOKUP(W$3,'Returns &amp; Bonus'!$A$5:$B$15,2,0)))</f>
        <v>19201.156704000001</v>
      </c>
      <c r="X30" s="57">
        <f>IF(X$3=2010,M30*(1+VLOOKUP(X$3,'Returns &amp; Bonus'!$A$5:$B$15,2,0)),(M30+W30)*(1+VLOOKUP(X$3,'Returns &amp; Bonus'!$A$5:$B$15,2,0)))</f>
        <v>23350.613569920002</v>
      </c>
      <c r="Y30" s="57">
        <f>IF(Y$3=2010,N30*(1+VLOOKUP(Y$3,'Returns &amp; Bonus'!$A$5:$B$15,2,0)),(N30+X30)*(1+VLOOKUP(Y$3,'Returns &amp; Bonus'!$A$5:$B$15,2,0)))</f>
        <v>26577.782891424002</v>
      </c>
      <c r="Z30" s="57">
        <f>IF(Z$3=2010,O30*(1+VLOOKUP(Z$3,'Returns &amp; Bonus'!$A$5:$B$15,2,0)),(O30+Y30)*(1+VLOOKUP(Z$3,'Returns &amp; Bonus'!$A$5:$B$15,2,0)))</f>
        <v>35260.274667309117</v>
      </c>
      <c r="AA30" s="57">
        <f>IF(AA$3=2010,P30*(1+VLOOKUP(AA$3,'Returns &amp; Bonus'!$A$5:$B$15,2,0)),(P30+Z30)*(1+VLOOKUP(AA$3,'Returns &amp; Bonus'!$A$5:$B$15,2,0)))</f>
        <v>44273.764880713126</v>
      </c>
      <c r="AB30" s="81">
        <f>IF(AB$3=2010,Q30*(1+VLOOKUP(AB$3,'Returns &amp; Bonus'!$A$5:$B$15,2,0)),(Q30+AA30)*(1+VLOOKUP(AB$3,'Returns &amp; Bonus'!$A$5:$B$15,2,0)))</f>
        <v>47921.76958309886</v>
      </c>
      <c r="AC30" s="85"/>
      <c r="AD30" s="58">
        <f t="shared" si="2"/>
        <v>42822.829583098857</v>
      </c>
      <c r="AE30" s="58">
        <f t="shared" si="3"/>
        <v>0</v>
      </c>
      <c r="AF30" s="58">
        <f t="shared" si="9"/>
        <v>5098.9399999999996</v>
      </c>
      <c r="AG30" s="58">
        <f t="shared" si="10"/>
        <v>42822.829583098857</v>
      </c>
      <c r="AH30" s="55">
        <f>IF(VLOOKUP(A30,'Data &amp; Formulae'!$A$11:$F$91,6,0)="Y",BonusFundProp*AF30*VLOOKUP(YEAR(B30),'Returns &amp; Bonus'!$G$4:$I$15,3,0),0)</f>
        <v>1121.7668000000001</v>
      </c>
      <c r="AI30" s="55">
        <f>IF(VLOOKUP(A30,'Data &amp; Formulae'!$A$11:$F$91,6,0)="Y",ClaimFundProp*AF30+AH30,0)</f>
        <v>5200.9188000000004</v>
      </c>
      <c r="AJ30" s="55">
        <f t="shared" si="4"/>
        <v>5200.9188000000004</v>
      </c>
      <c r="AK30" s="55">
        <f t="shared" si="11"/>
        <v>-101.97880000000077</v>
      </c>
      <c r="AL30" s="60"/>
      <c r="AM30" s="71">
        <f t="shared" si="5"/>
        <v>5200.9188000000004</v>
      </c>
      <c r="AN30" s="55">
        <f t="shared" si="12"/>
        <v>-101.97880000000077</v>
      </c>
      <c r="AO30" s="60"/>
      <c r="AP30" s="71">
        <f>IF(VLOOKUP(A30,'Data &amp; Formulae'!$A$11:$F$91,6,0)="Y",Scen2Bonus*AF30,0)</f>
        <v>1070.7773999999999</v>
      </c>
      <c r="AQ30" s="55">
        <f>IF(VLOOKUP(A30,'Data &amp; Formulae'!$A$11:$F$91,6,0)="Y",ClaimFundProp*AF30+AP30,0)</f>
        <v>5149.9294</v>
      </c>
      <c r="AR30" s="55">
        <f t="shared" si="6"/>
        <v>5149.9294</v>
      </c>
      <c r="AS30" s="55">
        <f t="shared" si="13"/>
        <v>-50.989400000000387</v>
      </c>
      <c r="AT30" s="60"/>
      <c r="AU30" s="71">
        <f>IF(VLOOKUP(A30,'Data &amp; Formulae'!$A$11:$F$91,6,0)="Y",SurrPay*AF30,0)</f>
        <v>127.4735</v>
      </c>
      <c r="AV30" s="73"/>
      <c r="AX30" s="4" t="b">
        <f t="shared" si="7"/>
        <v>1</v>
      </c>
      <c r="AY30" s="89" t="e">
        <f>(S30/(R30+H30)-1)-VLOOKUP(AY$3,'Returns &amp; Bonus'!$A$5:$B$15,2,0)</f>
        <v>#DIV/0!</v>
      </c>
      <c r="AZ30" s="89" t="e">
        <f>(T30/(S30+I30)-1)-VLOOKUP(AZ$3,'Returns &amp; Bonus'!$A$5:$B$15,2,0)</f>
        <v>#DIV/0!</v>
      </c>
      <c r="BA30" s="89">
        <f>(U30/(T30+J30)-1)-VLOOKUP(BA$3,'Returns &amp; Bonus'!$A$5:$B$15,2,0)</f>
        <v>0</v>
      </c>
      <c r="BB30" s="89">
        <f>(V30/(U30+K30)-1)-VLOOKUP(BB$3,'Returns &amp; Bonus'!$A$5:$B$15,2,0)</f>
        <v>0</v>
      </c>
      <c r="BC30" s="89">
        <f>(W30/(V30+L30)-1)-VLOOKUP(BC$3,'Returns &amp; Bonus'!$A$5:$B$15,2,0)</f>
        <v>0</v>
      </c>
      <c r="BD30" s="89">
        <f>(X30/(W30+M30)-1)-VLOOKUP(BD$3,'Returns &amp; Bonus'!$A$5:$B$15,2,0)</f>
        <v>9.3675067702747583E-17</v>
      </c>
      <c r="BE30" s="89">
        <f>(Y30/(X30+N30)-1)-VLOOKUP(BE$3,'Returns &amp; Bonus'!$A$5:$B$15,2,0)</f>
        <v>0</v>
      </c>
      <c r="BF30" s="89">
        <f>(Z30/(Y30+O30)-1)-VLOOKUP(BF$3,'Returns &amp; Bonus'!$A$5:$B$15,2,0)</f>
        <v>0</v>
      </c>
      <c r="BG30" s="89">
        <f>(AA30/(Z30+P30)-1)-VLOOKUP(BG$3,'Returns &amp; Bonus'!$A$5:$B$15,2,0)</f>
        <v>0</v>
      </c>
      <c r="BH30" s="89">
        <f>(AB30/(AA30+Q30)-1)-VLOOKUP(BH$3,'Returns &amp; Bonus'!$A$5:$B$15,2,0)</f>
        <v>-1.2836953722228372E-16</v>
      </c>
    </row>
    <row r="31" spans="1:60" x14ac:dyDescent="0.25">
      <c r="A31" s="77">
        <f>'Amended Data'!A31</f>
        <v>28</v>
      </c>
      <c r="B31" s="75">
        <f>'Amended Data'!K31</f>
        <v>41275</v>
      </c>
      <c r="C31" s="55">
        <f>'Amended Data'!J31</f>
        <v>1480</v>
      </c>
      <c r="D31" s="56">
        <f>'Amended Data'!L31</f>
        <v>13</v>
      </c>
      <c r="E31" s="57">
        <f>'Amended Data'!M31</f>
        <v>378.64749999999992</v>
      </c>
      <c r="F31" s="57" t="str">
        <f>'Data &amp; Formulae'!H39</f>
        <v>Y</v>
      </c>
      <c r="G31" s="57">
        <f t="shared" si="14"/>
        <v>0</v>
      </c>
      <c r="H31" s="57">
        <f t="shared" si="14"/>
        <v>0</v>
      </c>
      <c r="I31" s="57">
        <f t="shared" si="14"/>
        <v>0</v>
      </c>
      <c r="J31" s="57">
        <f t="shared" si="14"/>
        <v>1480</v>
      </c>
      <c r="K31" s="57">
        <f t="shared" si="14"/>
        <v>1480</v>
      </c>
      <c r="L31" s="57">
        <f t="shared" si="14"/>
        <v>1480</v>
      </c>
      <c r="M31" s="57">
        <f t="shared" si="14"/>
        <v>1480</v>
      </c>
      <c r="N31" s="57">
        <f t="shared" si="14"/>
        <v>1480</v>
      </c>
      <c r="O31" s="57">
        <f t="shared" si="14"/>
        <v>1480</v>
      </c>
      <c r="P31" s="57">
        <f t="shared" si="14"/>
        <v>1480</v>
      </c>
      <c r="Q31" s="57">
        <f t="shared" si="14"/>
        <v>1480</v>
      </c>
      <c r="R31" s="57">
        <f>IF(R$3=2010,G31*(1+VLOOKUP(R$3,'Returns &amp; Bonus'!$A$5:$B$15,2,0)),(G31+Q31)*(1+VLOOKUP(R$3,'Returns &amp; Bonus'!$A$5:$B$15,2,0)))</f>
        <v>0</v>
      </c>
      <c r="S31" s="57">
        <f>IF(S$3=2010,H31*(1+VLOOKUP(S$3,'Returns &amp; Bonus'!$A$5:$B$15,2,0)),(H31+R31)*(1+VLOOKUP(S$3,'Returns &amp; Bonus'!$A$5:$B$15,2,0)))</f>
        <v>0</v>
      </c>
      <c r="T31" s="57">
        <f>IF(T$3=2010,I31*(1+VLOOKUP(T$3,'Returns &amp; Bonus'!$A$5:$B$15,2,0)),(I31+S31)*(1+VLOOKUP(T$3,'Returns &amp; Bonus'!$A$5:$B$15,2,0)))</f>
        <v>0</v>
      </c>
      <c r="U31" s="57">
        <f>IF(U$3=2010,J31*(1+VLOOKUP(U$3,'Returns &amp; Bonus'!$A$5:$B$15,2,0)),(J31+T31)*(1+VLOOKUP(U$3,'Returns &amp; Bonus'!$A$5:$B$15,2,0)))</f>
        <v>1835.2</v>
      </c>
      <c r="V31" s="57">
        <f>IF(V$3=2010,K31*(1+VLOOKUP(V$3,'Returns &amp; Bonus'!$A$5:$B$15,2,0)),(K31+U31)*(1+VLOOKUP(V$3,'Returns &amp; Bonus'!$A$5:$B$15,2,0)))</f>
        <v>3282.0479999999998</v>
      </c>
      <c r="W31" s="57">
        <f>IF(W$3=2010,L31*(1+VLOOKUP(W$3,'Returns &amp; Bonus'!$A$5:$B$15,2,0)),(L31+V31)*(1+VLOOKUP(W$3,'Returns &amp; Bonus'!$A$5:$B$15,2,0)))</f>
        <v>6143.0419199999997</v>
      </c>
      <c r="X31" s="57">
        <f>IF(X$3=2010,M31*(1+VLOOKUP(X$3,'Returns &amp; Bonus'!$A$5:$B$15,2,0)),(M31+W31)*(1+VLOOKUP(X$3,'Returns &amp; Bonus'!$A$5:$B$15,2,0)))</f>
        <v>7470.5810815999994</v>
      </c>
      <c r="Y31" s="57">
        <f>IF(Y$3=2010,N31*(1+VLOOKUP(Y$3,'Returns &amp; Bonus'!$A$5:$B$15,2,0)),(N31+X31)*(1+VLOOKUP(Y$3,'Returns &amp; Bonus'!$A$5:$B$15,2,0)))</f>
        <v>8503.0520275199997</v>
      </c>
      <c r="Z31" s="57">
        <f>IF(Z$3=2010,O31*(1+VLOOKUP(Z$3,'Returns &amp; Bonus'!$A$5:$B$15,2,0)),(O31+Y31)*(1+VLOOKUP(Z$3,'Returns &amp; Bonus'!$A$5:$B$15,2,0)))</f>
        <v>11280.848791097598</v>
      </c>
      <c r="AA31" s="57">
        <f>IF(AA$3=2010,P31*(1+VLOOKUP(AA$3,'Returns &amp; Bonus'!$A$5:$B$15,2,0)),(P31+Z31)*(1+VLOOKUP(AA$3,'Returns &amp; Bonus'!$A$5:$B$15,2,0)))</f>
        <v>14164.542158118335</v>
      </c>
      <c r="AB31" s="81">
        <f>IF(AB$3=2010,Q31*(1+VLOOKUP(AB$3,'Returns &amp; Bonus'!$A$5:$B$15,2,0)),(Q31+AA31)*(1+VLOOKUP(AB$3,'Returns &amp; Bonus'!$A$5:$B$15,2,0)))</f>
        <v>15331.651314955967</v>
      </c>
      <c r="AC31" s="85"/>
      <c r="AD31" s="58">
        <f t="shared" si="2"/>
        <v>14953.003814955968</v>
      </c>
      <c r="AE31" s="58">
        <f t="shared" si="3"/>
        <v>0</v>
      </c>
      <c r="AF31" s="58">
        <f t="shared" si="9"/>
        <v>378.64749999999992</v>
      </c>
      <c r="AG31" s="58">
        <f t="shared" si="10"/>
        <v>14953.003814955968</v>
      </c>
      <c r="AH31" s="55">
        <f>IF(VLOOKUP(A31,'Data &amp; Formulae'!$A$11:$F$91,6,0)="Y",BonusFundProp*AF31*VLOOKUP(YEAR(B31),'Returns &amp; Bonus'!$G$4:$I$15,3,0),0)</f>
        <v>83.302449999999993</v>
      </c>
      <c r="AI31" s="55">
        <f>IF(VLOOKUP(A31,'Data &amp; Formulae'!$A$11:$F$91,6,0)="Y",ClaimFundProp*AF31+AH31,0)</f>
        <v>386.22044999999991</v>
      </c>
      <c r="AJ31" s="55">
        <f t="shared" si="4"/>
        <v>386.22044999999991</v>
      </c>
      <c r="AK31" s="55">
        <f t="shared" si="11"/>
        <v>-7.5729499999999916</v>
      </c>
      <c r="AL31" s="60"/>
      <c r="AM31" s="71">
        <f t="shared" si="5"/>
        <v>386.22044999999991</v>
      </c>
      <c r="AN31" s="55">
        <f t="shared" si="12"/>
        <v>-7.5729499999999916</v>
      </c>
      <c r="AO31" s="60"/>
      <c r="AP31" s="71">
        <f>IF(VLOOKUP(A31,'Data &amp; Formulae'!$A$11:$F$91,6,0)="Y",Scen2Bonus*AF31,0)</f>
        <v>79.515974999999983</v>
      </c>
      <c r="AQ31" s="55">
        <f>IF(VLOOKUP(A31,'Data &amp; Formulae'!$A$11:$F$91,6,0)="Y",ClaimFundProp*AF31+AP31,0)</f>
        <v>382.43397499999992</v>
      </c>
      <c r="AR31" s="55">
        <f t="shared" si="6"/>
        <v>382.43397499999992</v>
      </c>
      <c r="AS31" s="55">
        <f t="shared" si="13"/>
        <v>-3.7864749999999958</v>
      </c>
      <c r="AT31" s="60"/>
      <c r="AU31" s="71">
        <f>IF(VLOOKUP(A31,'Data &amp; Formulae'!$A$11:$F$91,6,0)="Y",SurrPay*AF31,0)</f>
        <v>9.4661874999999984</v>
      </c>
      <c r="AV31" s="73"/>
      <c r="AX31" s="4" t="b">
        <f t="shared" si="7"/>
        <v>1</v>
      </c>
      <c r="AY31" s="89" t="e">
        <f>(S31/(R31+H31)-1)-VLOOKUP(AY$3,'Returns &amp; Bonus'!$A$5:$B$15,2,0)</f>
        <v>#DIV/0!</v>
      </c>
      <c r="AZ31" s="89" t="e">
        <f>(T31/(S31+I31)-1)-VLOOKUP(AZ$3,'Returns &amp; Bonus'!$A$5:$B$15,2,0)</f>
        <v>#DIV/0!</v>
      </c>
      <c r="BA31" s="89">
        <f>(U31/(T31+J31)-1)-VLOOKUP(BA$3,'Returns &amp; Bonus'!$A$5:$B$15,2,0)</f>
        <v>0</v>
      </c>
      <c r="BB31" s="89">
        <f>(V31/(U31+K31)-1)-VLOOKUP(BB$3,'Returns &amp; Bonus'!$A$5:$B$15,2,0)</f>
        <v>0</v>
      </c>
      <c r="BC31" s="89">
        <f>(W31/(V31+L31)-1)-VLOOKUP(BC$3,'Returns &amp; Bonus'!$A$5:$B$15,2,0)</f>
        <v>0</v>
      </c>
      <c r="BD31" s="89">
        <f>(X31/(W31+M31)-1)-VLOOKUP(BD$3,'Returns &amp; Bonus'!$A$5:$B$15,2,0)</f>
        <v>0</v>
      </c>
      <c r="BE31" s="89">
        <f>(Y31/(X31+N31)-1)-VLOOKUP(BE$3,'Returns &amp; Bonus'!$A$5:$B$15,2,0)</f>
        <v>6.9388939039072284E-17</v>
      </c>
      <c r="BF31" s="89">
        <f>(Z31/(Y31+O31)-1)-VLOOKUP(BF$3,'Returns &amp; Bonus'!$A$5:$B$15,2,0)</f>
        <v>0</v>
      </c>
      <c r="BG31" s="89">
        <f>(AA31/(Z31+P31)-1)-VLOOKUP(BG$3,'Returns &amp; Bonus'!$A$5:$B$15,2,0)</f>
        <v>0</v>
      </c>
      <c r="BH31" s="89">
        <f>(AB31/(AA31+Q31)-1)-VLOOKUP(BH$3,'Returns &amp; Bonus'!$A$5:$B$15,2,0)</f>
        <v>0</v>
      </c>
    </row>
    <row r="32" spans="1:60" x14ac:dyDescent="0.25">
      <c r="A32" s="77">
        <f>'Amended Data'!A32</f>
        <v>29</v>
      </c>
      <c r="B32" s="75">
        <f>'Amended Data'!K32</f>
        <v>41275</v>
      </c>
      <c r="C32" s="55">
        <f>'Amended Data'!J32</f>
        <v>3566</v>
      </c>
      <c r="D32" s="56">
        <f>'Amended Data'!L32</f>
        <v>13</v>
      </c>
      <c r="E32" s="57">
        <f>'Amended Data'!M32</f>
        <v>902.82499999999993</v>
      </c>
      <c r="F32" s="57" t="str">
        <f>'Data &amp; Formulae'!H40</f>
        <v>Y</v>
      </c>
      <c r="G32" s="57">
        <f t="shared" si="14"/>
        <v>0</v>
      </c>
      <c r="H32" s="57">
        <f t="shared" si="14"/>
        <v>0</v>
      </c>
      <c r="I32" s="57">
        <f t="shared" si="14"/>
        <v>0</v>
      </c>
      <c r="J32" s="57">
        <f t="shared" si="14"/>
        <v>3566</v>
      </c>
      <c r="K32" s="57">
        <f t="shared" si="14"/>
        <v>3566</v>
      </c>
      <c r="L32" s="57">
        <f t="shared" si="14"/>
        <v>3566</v>
      </c>
      <c r="M32" s="57">
        <f t="shared" si="14"/>
        <v>3566</v>
      </c>
      <c r="N32" s="57">
        <f t="shared" si="14"/>
        <v>3566</v>
      </c>
      <c r="O32" s="57">
        <f t="shared" si="14"/>
        <v>3566</v>
      </c>
      <c r="P32" s="57">
        <f t="shared" si="14"/>
        <v>3566</v>
      </c>
      <c r="Q32" s="57">
        <f t="shared" si="14"/>
        <v>3566</v>
      </c>
      <c r="R32" s="57">
        <f>IF(R$3=2010,G32*(1+VLOOKUP(R$3,'Returns &amp; Bonus'!$A$5:$B$15,2,0)),(G32+Q32)*(1+VLOOKUP(R$3,'Returns &amp; Bonus'!$A$5:$B$15,2,0)))</f>
        <v>0</v>
      </c>
      <c r="S32" s="57">
        <f>IF(S$3=2010,H32*(1+VLOOKUP(S$3,'Returns &amp; Bonus'!$A$5:$B$15,2,0)),(H32+R32)*(1+VLOOKUP(S$3,'Returns &amp; Bonus'!$A$5:$B$15,2,0)))</f>
        <v>0</v>
      </c>
      <c r="T32" s="57">
        <f>IF(T$3=2010,I32*(1+VLOOKUP(T$3,'Returns &amp; Bonus'!$A$5:$B$15,2,0)),(I32+S32)*(1+VLOOKUP(T$3,'Returns &amp; Bonus'!$A$5:$B$15,2,0)))</f>
        <v>0</v>
      </c>
      <c r="U32" s="57">
        <f>IF(U$3=2010,J32*(1+VLOOKUP(U$3,'Returns &amp; Bonus'!$A$5:$B$15,2,0)),(J32+T32)*(1+VLOOKUP(U$3,'Returns &amp; Bonus'!$A$5:$B$15,2,0)))</f>
        <v>4421.84</v>
      </c>
      <c r="V32" s="57">
        <f>IF(V$3=2010,K32*(1+VLOOKUP(V$3,'Returns &amp; Bonus'!$A$5:$B$15,2,0)),(K32+U32)*(1+VLOOKUP(V$3,'Returns &amp; Bonus'!$A$5:$B$15,2,0)))</f>
        <v>7907.9615999999996</v>
      </c>
      <c r="W32" s="57">
        <f>IF(W$3=2010,L32*(1+VLOOKUP(W$3,'Returns &amp; Bonus'!$A$5:$B$15,2,0)),(L32+V32)*(1+VLOOKUP(W$3,'Returns &amp; Bonus'!$A$5:$B$15,2,0)))</f>
        <v>14801.410463999999</v>
      </c>
      <c r="X32" s="57">
        <f>IF(X$3=2010,M32*(1+VLOOKUP(X$3,'Returns &amp; Bonus'!$A$5:$B$15,2,0)),(M32+W32)*(1+VLOOKUP(X$3,'Returns &amp; Bonus'!$A$5:$B$15,2,0)))</f>
        <v>18000.06225472</v>
      </c>
      <c r="Y32" s="57">
        <f>IF(Y$3=2010,N32*(1+VLOOKUP(Y$3,'Returns &amp; Bonus'!$A$5:$B$15,2,0)),(N32+X32)*(1+VLOOKUP(Y$3,'Returns &amp; Bonus'!$A$5:$B$15,2,0)))</f>
        <v>20487.759141983999</v>
      </c>
      <c r="Z32" s="57">
        <f>IF(Z$3=2010,O32*(1+VLOOKUP(Z$3,'Returns &amp; Bonus'!$A$5:$B$15,2,0)),(O32+Y32)*(1+VLOOKUP(Z$3,'Returns &amp; Bonus'!$A$5:$B$15,2,0)))</f>
        <v>27180.747830441916</v>
      </c>
      <c r="AA32" s="57">
        <f>IF(AA$3=2010,P32*(1+VLOOKUP(AA$3,'Returns &amp; Bonus'!$A$5:$B$15,2,0)),(P32+Z32)*(1+VLOOKUP(AA$3,'Returns &amp; Bonus'!$A$5:$B$15,2,0)))</f>
        <v>34128.890091790527</v>
      </c>
      <c r="AB32" s="81">
        <f>IF(AB$3=2010,Q32*(1+VLOOKUP(AB$3,'Returns &amp; Bonus'!$A$5:$B$15,2,0)),(Q32+AA32)*(1+VLOOKUP(AB$3,'Returns &amp; Bonus'!$A$5:$B$15,2,0)))</f>
        <v>36940.992289954716</v>
      </c>
      <c r="AC32" s="85"/>
      <c r="AD32" s="58">
        <f t="shared" si="2"/>
        <v>36038.167289954719</v>
      </c>
      <c r="AE32" s="58">
        <f t="shared" si="3"/>
        <v>0</v>
      </c>
      <c r="AF32" s="58">
        <f t="shared" si="9"/>
        <v>902.82499999999993</v>
      </c>
      <c r="AG32" s="58">
        <f t="shared" si="10"/>
        <v>36038.167289954719</v>
      </c>
      <c r="AH32" s="55">
        <f>IF(VLOOKUP(A32,'Data &amp; Formulae'!$A$11:$F$91,6,0)="Y",BonusFundProp*AF32*VLOOKUP(YEAR(B32),'Returns &amp; Bonus'!$G$4:$I$15,3,0),0)</f>
        <v>198.62150000000003</v>
      </c>
      <c r="AI32" s="55">
        <f>IF(VLOOKUP(A32,'Data &amp; Formulae'!$A$11:$F$91,6,0)="Y",ClaimFundProp*AF32+AH32,0)</f>
        <v>920.88149999999996</v>
      </c>
      <c r="AJ32" s="55">
        <f t="shared" si="4"/>
        <v>920.88149999999996</v>
      </c>
      <c r="AK32" s="55">
        <f t="shared" si="11"/>
        <v>-18.056500000000028</v>
      </c>
      <c r="AL32" s="60"/>
      <c r="AM32" s="71">
        <f t="shared" si="5"/>
        <v>920.88149999999996</v>
      </c>
      <c r="AN32" s="55">
        <f t="shared" si="12"/>
        <v>-18.056500000000028</v>
      </c>
      <c r="AO32" s="60"/>
      <c r="AP32" s="71">
        <f>IF(VLOOKUP(A32,'Data &amp; Formulae'!$A$11:$F$91,6,0)="Y",Scen2Bonus*AF32,0)</f>
        <v>189.59324999999998</v>
      </c>
      <c r="AQ32" s="55">
        <f>IF(VLOOKUP(A32,'Data &amp; Formulae'!$A$11:$F$91,6,0)="Y",ClaimFundProp*AF32+AP32,0)</f>
        <v>911.85325</v>
      </c>
      <c r="AR32" s="55">
        <f t="shared" si="6"/>
        <v>911.85325</v>
      </c>
      <c r="AS32" s="55">
        <f t="shared" si="13"/>
        <v>-9.0282500000000709</v>
      </c>
      <c r="AT32" s="60"/>
      <c r="AU32" s="71">
        <f>IF(VLOOKUP(A32,'Data &amp; Formulae'!$A$11:$F$91,6,0)="Y",SurrPay*AF32,0)</f>
        <v>22.570625</v>
      </c>
      <c r="AV32" s="73"/>
      <c r="AX32" s="4" t="b">
        <f t="shared" si="7"/>
        <v>1</v>
      </c>
      <c r="AY32" s="89" t="e">
        <f>(S32/(R32+H32)-1)-VLOOKUP(AY$3,'Returns &amp; Bonus'!$A$5:$B$15,2,0)</f>
        <v>#DIV/0!</v>
      </c>
      <c r="AZ32" s="89" t="e">
        <f>(T32/(S32+I32)-1)-VLOOKUP(AZ$3,'Returns &amp; Bonus'!$A$5:$B$15,2,0)</f>
        <v>#DIV/0!</v>
      </c>
      <c r="BA32" s="89">
        <f>(U32/(T32+J32)-1)-VLOOKUP(BA$3,'Returns &amp; Bonus'!$A$5:$B$15,2,0)</f>
        <v>0</v>
      </c>
      <c r="BB32" s="89">
        <f>(V32/(U32+K32)-1)-VLOOKUP(BB$3,'Returns &amp; Bonus'!$A$5:$B$15,2,0)</f>
        <v>0</v>
      </c>
      <c r="BC32" s="89">
        <f>(W32/(V32+L32)-1)-VLOOKUP(BC$3,'Returns &amp; Bonus'!$A$5:$B$15,2,0)</f>
        <v>0</v>
      </c>
      <c r="BD32" s="89">
        <f>(X32/(W32+M32)-1)-VLOOKUP(BD$3,'Returns &amp; Bonus'!$A$5:$B$15,2,0)</f>
        <v>0</v>
      </c>
      <c r="BE32" s="89">
        <f>(Y32/(X32+N32)-1)-VLOOKUP(BE$3,'Returns &amp; Bonus'!$A$5:$B$15,2,0)</f>
        <v>0</v>
      </c>
      <c r="BF32" s="89">
        <f>(Z32/(Y32+O32)-1)-VLOOKUP(BF$3,'Returns &amp; Bonus'!$A$5:$B$15,2,0)</f>
        <v>0</v>
      </c>
      <c r="BG32" s="89">
        <f>(AA32/(Z32+P32)-1)-VLOOKUP(BG$3,'Returns &amp; Bonus'!$A$5:$B$15,2,0)</f>
        <v>-1.2490009027033011E-16</v>
      </c>
      <c r="BH32" s="89">
        <f>(AB32/(AA32+Q32)-1)-VLOOKUP(BH$3,'Returns &amp; Bonus'!$A$5:$B$15,2,0)</f>
        <v>0</v>
      </c>
    </row>
    <row r="33" spans="1:60" x14ac:dyDescent="0.25">
      <c r="A33" s="77">
        <f>'Amended Data'!A33</f>
        <v>30</v>
      </c>
      <c r="B33" s="75">
        <f>'Amended Data'!K33</f>
        <v>41275</v>
      </c>
      <c r="C33" s="55">
        <f>'Amended Data'!J33</f>
        <v>1163</v>
      </c>
      <c r="D33" s="56">
        <f>'Amended Data'!L33</f>
        <v>26</v>
      </c>
      <c r="E33" s="57">
        <f>'Amended Data'!M33</f>
        <v>12047.777350874183</v>
      </c>
      <c r="F33" s="57" t="str">
        <f>'Data &amp; Formulae'!H41</f>
        <v>N</v>
      </c>
      <c r="G33" s="57">
        <f t="shared" si="14"/>
        <v>0</v>
      </c>
      <c r="H33" s="57">
        <f t="shared" si="14"/>
        <v>0</v>
      </c>
      <c r="I33" s="57">
        <f t="shared" si="14"/>
        <v>0</v>
      </c>
      <c r="J33" s="57">
        <f t="shared" si="14"/>
        <v>1163</v>
      </c>
      <c r="K33" s="57">
        <f t="shared" si="14"/>
        <v>1163</v>
      </c>
      <c r="L33" s="57">
        <f t="shared" si="14"/>
        <v>1163</v>
      </c>
      <c r="M33" s="57">
        <f t="shared" si="14"/>
        <v>1163</v>
      </c>
      <c r="N33" s="57">
        <f t="shared" si="14"/>
        <v>1163</v>
      </c>
      <c r="O33" s="57">
        <f t="shared" si="14"/>
        <v>1163</v>
      </c>
      <c r="P33" s="57">
        <f t="shared" si="14"/>
        <v>1163</v>
      </c>
      <c r="Q33" s="57">
        <f t="shared" si="14"/>
        <v>1163</v>
      </c>
      <c r="R33" s="57">
        <f>IF(R$3=2010,G33*(1+VLOOKUP(R$3,'Returns &amp; Bonus'!$A$5:$B$15,2,0)),(G33+Q33)*(1+VLOOKUP(R$3,'Returns &amp; Bonus'!$A$5:$B$15,2,0)))</f>
        <v>0</v>
      </c>
      <c r="S33" s="57">
        <f>IF(S$3=2010,H33*(1+VLOOKUP(S$3,'Returns &amp; Bonus'!$A$5:$B$15,2,0)),(H33+R33)*(1+VLOOKUP(S$3,'Returns &amp; Bonus'!$A$5:$B$15,2,0)))</f>
        <v>0</v>
      </c>
      <c r="T33" s="57">
        <f>IF(T$3=2010,I33*(1+VLOOKUP(T$3,'Returns &amp; Bonus'!$A$5:$B$15,2,0)),(I33+S33)*(1+VLOOKUP(T$3,'Returns &amp; Bonus'!$A$5:$B$15,2,0)))</f>
        <v>0</v>
      </c>
      <c r="U33" s="57">
        <f>IF(U$3=2010,J33*(1+VLOOKUP(U$3,'Returns &amp; Bonus'!$A$5:$B$15,2,0)),(J33+T33)*(1+VLOOKUP(U$3,'Returns &amp; Bonus'!$A$5:$B$15,2,0)))</f>
        <v>1442.12</v>
      </c>
      <c r="V33" s="57">
        <f>IF(V$3=2010,K33*(1+VLOOKUP(V$3,'Returns &amp; Bonus'!$A$5:$B$15,2,0)),(K33+U33)*(1+VLOOKUP(V$3,'Returns &amp; Bonus'!$A$5:$B$15,2,0)))</f>
        <v>2579.0688</v>
      </c>
      <c r="W33" s="57">
        <f>IF(W$3=2010,L33*(1+VLOOKUP(W$3,'Returns &amp; Bonus'!$A$5:$B$15,2,0)),(L33+V33)*(1+VLOOKUP(W$3,'Returns &amp; Bonus'!$A$5:$B$15,2,0)))</f>
        <v>4827.2687519999999</v>
      </c>
      <c r="X33" s="57">
        <f>IF(X$3=2010,M33*(1+VLOOKUP(X$3,'Returns &amp; Bonus'!$A$5:$B$15,2,0)),(M33+W33)*(1+VLOOKUP(X$3,'Returns &amp; Bonus'!$A$5:$B$15,2,0)))</f>
        <v>5870.4633769599996</v>
      </c>
      <c r="Y33" s="57">
        <f>IF(Y$3=2010,N33*(1+VLOOKUP(Y$3,'Returns &amp; Bonus'!$A$5:$B$15,2,0)),(N33+X33)*(1+VLOOKUP(Y$3,'Returns &amp; Bonus'!$A$5:$B$15,2,0)))</f>
        <v>6681.7902081119992</v>
      </c>
      <c r="Z33" s="57">
        <f>IF(Z$3=2010,O33*(1+VLOOKUP(Z$3,'Returns &amp; Bonus'!$A$5:$B$15,2,0)),(O33+Y33)*(1+VLOOKUP(Z$3,'Returns &amp; Bonus'!$A$5:$B$15,2,0)))</f>
        <v>8864.6129351665586</v>
      </c>
      <c r="AA33" s="57">
        <f>IF(AA$3=2010,P33*(1+VLOOKUP(AA$3,'Returns &amp; Bonus'!$A$5:$B$15,2,0)),(P33+Z33)*(1+VLOOKUP(AA$3,'Returns &amp; Bonus'!$A$5:$B$15,2,0)))</f>
        <v>11130.650358034882</v>
      </c>
      <c r="AB33" s="81">
        <f>IF(AB$3=2010,Q33*(1+VLOOKUP(AB$3,'Returns &amp; Bonus'!$A$5:$B$15,2,0)),(Q33+AA33)*(1+VLOOKUP(AB$3,'Returns &amp; Bonus'!$A$5:$B$15,2,0)))</f>
        <v>12047.777350874183</v>
      </c>
      <c r="AC33" s="85"/>
      <c r="AD33" s="58">
        <f t="shared" si="2"/>
        <v>0</v>
      </c>
      <c r="AE33" s="58">
        <f t="shared" si="3"/>
        <v>0</v>
      </c>
      <c r="AF33" s="58">
        <f t="shared" si="9"/>
        <v>12047.777350874183</v>
      </c>
      <c r="AG33" s="58">
        <f t="shared" si="10"/>
        <v>0</v>
      </c>
      <c r="AH33" s="55">
        <f>IF(VLOOKUP(A33,'Data &amp; Formulae'!$A$11:$F$91,6,0)="Y",BonusFundProp*AF33*VLOOKUP(YEAR(B33),'Returns &amp; Bonus'!$G$4:$I$15,3,0),0)</f>
        <v>2650.5110171923202</v>
      </c>
      <c r="AI33" s="55">
        <f>IF(VLOOKUP(A33,'Data &amp; Formulae'!$A$11:$F$91,6,0)="Y",ClaimFundProp*AF33+AH33,0)</f>
        <v>12288.732897891667</v>
      </c>
      <c r="AJ33" s="55">
        <f t="shared" si="4"/>
        <v>12288.732897891667</v>
      </c>
      <c r="AK33" s="55">
        <f t="shared" si="11"/>
        <v>-240.9555470174837</v>
      </c>
      <c r="AL33" s="60"/>
      <c r="AM33" s="71">
        <f t="shared" si="5"/>
        <v>12288.732897891667</v>
      </c>
      <c r="AN33" s="55">
        <f t="shared" si="12"/>
        <v>-240.9555470174837</v>
      </c>
      <c r="AO33" s="60"/>
      <c r="AP33" s="71">
        <f>IF(VLOOKUP(A33,'Data &amp; Formulae'!$A$11:$F$91,6,0)="Y",Scen2Bonus*AF33,0)</f>
        <v>2530.0332436835783</v>
      </c>
      <c r="AQ33" s="55">
        <f>IF(VLOOKUP(A33,'Data &amp; Formulae'!$A$11:$F$91,6,0)="Y",ClaimFundProp*AF33+AP33,0)</f>
        <v>12168.255124382924</v>
      </c>
      <c r="AR33" s="55">
        <f t="shared" si="6"/>
        <v>12168.255124382924</v>
      </c>
      <c r="AS33" s="55">
        <f t="shared" si="13"/>
        <v>-120.47777350874094</v>
      </c>
      <c r="AT33" s="60"/>
      <c r="AU33" s="71">
        <f>IF(VLOOKUP(A33,'Data &amp; Formulae'!$A$11:$F$91,6,0)="Y",SurrPay*AF33,0)</f>
        <v>301.19443377185456</v>
      </c>
      <c r="AV33" s="73"/>
      <c r="AX33" s="4" t="b">
        <f t="shared" si="7"/>
        <v>1</v>
      </c>
      <c r="AY33" s="89" t="e">
        <f>(S33/(R33+H33)-1)-VLOOKUP(AY$3,'Returns &amp; Bonus'!$A$5:$B$15,2,0)</f>
        <v>#DIV/0!</v>
      </c>
      <c r="AZ33" s="89" t="e">
        <f>(T33/(S33+I33)-1)-VLOOKUP(AZ$3,'Returns &amp; Bonus'!$A$5:$B$15,2,0)</f>
        <v>#DIV/0!</v>
      </c>
      <c r="BA33" s="89">
        <f>(U33/(T33+J33)-1)-VLOOKUP(BA$3,'Returns &amp; Bonus'!$A$5:$B$15,2,0)</f>
        <v>0</v>
      </c>
      <c r="BB33" s="89">
        <f>(V33/(U33+K33)-1)-VLOOKUP(BB$3,'Returns &amp; Bonus'!$A$5:$B$15,2,0)</f>
        <v>0</v>
      </c>
      <c r="BC33" s="89">
        <f>(W33/(V33+L33)-1)-VLOOKUP(BC$3,'Returns &amp; Bonus'!$A$5:$B$15,2,0)</f>
        <v>0</v>
      </c>
      <c r="BD33" s="89">
        <f>(X33/(W33+M33)-1)-VLOOKUP(BD$3,'Returns &amp; Bonus'!$A$5:$B$15,2,0)</f>
        <v>0</v>
      </c>
      <c r="BE33" s="89">
        <f>(Y33/(X33+N33)-1)-VLOOKUP(BE$3,'Returns &amp; Bonus'!$A$5:$B$15,2,0)</f>
        <v>0</v>
      </c>
      <c r="BF33" s="89">
        <f>(Z33/(Y33+O33)-1)-VLOOKUP(BF$3,'Returns &amp; Bonus'!$A$5:$B$15,2,0)</f>
        <v>0</v>
      </c>
      <c r="BG33" s="89">
        <f>(AA33/(Z33+P33)-1)-VLOOKUP(BG$3,'Returns &amp; Bonus'!$A$5:$B$15,2,0)</f>
        <v>0</v>
      </c>
      <c r="BH33" s="89">
        <f>(AB33/(AA33+Q33)-1)-VLOOKUP(BH$3,'Returns &amp; Bonus'!$A$5:$B$15,2,0)</f>
        <v>-1.2836953722228372E-16</v>
      </c>
    </row>
    <row r="34" spans="1:60" x14ac:dyDescent="0.25">
      <c r="A34" s="77">
        <f>'Amended Data'!A34</f>
        <v>31</v>
      </c>
      <c r="B34" s="75">
        <f>'Amended Data'!K34</f>
        <v>41275</v>
      </c>
      <c r="C34" s="55">
        <f>'Amended Data'!J34</f>
        <v>1156</v>
      </c>
      <c r="D34" s="56">
        <f>'Amended Data'!L34</f>
        <v>19</v>
      </c>
      <c r="E34" s="57">
        <f>'Amended Data'!M34</f>
        <v>671.91249999999991</v>
      </c>
      <c r="F34" s="57" t="str">
        <f>'Data &amp; Formulae'!H42</f>
        <v>Y</v>
      </c>
      <c r="G34" s="57">
        <f t="shared" si="14"/>
        <v>0</v>
      </c>
      <c r="H34" s="57">
        <f t="shared" si="14"/>
        <v>0</v>
      </c>
      <c r="I34" s="57">
        <f t="shared" si="14"/>
        <v>0</v>
      </c>
      <c r="J34" s="57">
        <f t="shared" si="14"/>
        <v>1156</v>
      </c>
      <c r="K34" s="57">
        <f t="shared" si="14"/>
        <v>1156</v>
      </c>
      <c r="L34" s="57">
        <f t="shared" si="14"/>
        <v>1156</v>
      </c>
      <c r="M34" s="57">
        <f t="shared" si="14"/>
        <v>1156</v>
      </c>
      <c r="N34" s="57">
        <f t="shared" si="14"/>
        <v>1156</v>
      </c>
      <c r="O34" s="57">
        <f t="shared" si="14"/>
        <v>1156</v>
      </c>
      <c r="P34" s="57">
        <f t="shared" si="14"/>
        <v>1156</v>
      </c>
      <c r="Q34" s="57">
        <f t="shared" si="14"/>
        <v>1156</v>
      </c>
      <c r="R34" s="57">
        <f>IF(R$3=2010,G34*(1+VLOOKUP(R$3,'Returns &amp; Bonus'!$A$5:$B$15,2,0)),(G34+Q34)*(1+VLOOKUP(R$3,'Returns &amp; Bonus'!$A$5:$B$15,2,0)))</f>
        <v>0</v>
      </c>
      <c r="S34" s="57">
        <f>IF(S$3=2010,H34*(1+VLOOKUP(S$3,'Returns &amp; Bonus'!$A$5:$B$15,2,0)),(H34+R34)*(1+VLOOKUP(S$3,'Returns &amp; Bonus'!$A$5:$B$15,2,0)))</f>
        <v>0</v>
      </c>
      <c r="T34" s="57">
        <f>IF(T$3=2010,I34*(1+VLOOKUP(T$3,'Returns &amp; Bonus'!$A$5:$B$15,2,0)),(I34+S34)*(1+VLOOKUP(T$3,'Returns &amp; Bonus'!$A$5:$B$15,2,0)))</f>
        <v>0</v>
      </c>
      <c r="U34" s="57">
        <f>IF(U$3=2010,J34*(1+VLOOKUP(U$3,'Returns &amp; Bonus'!$A$5:$B$15,2,0)),(J34+T34)*(1+VLOOKUP(U$3,'Returns &amp; Bonus'!$A$5:$B$15,2,0)))</f>
        <v>1433.44</v>
      </c>
      <c r="V34" s="57">
        <f>IF(V$3=2010,K34*(1+VLOOKUP(V$3,'Returns &amp; Bonus'!$A$5:$B$15,2,0)),(K34+U34)*(1+VLOOKUP(V$3,'Returns &amp; Bonus'!$A$5:$B$15,2,0)))</f>
        <v>2563.5455999999999</v>
      </c>
      <c r="W34" s="57">
        <f>IF(W$3=2010,L34*(1+VLOOKUP(W$3,'Returns &amp; Bonus'!$A$5:$B$15,2,0)),(L34+V34)*(1+VLOOKUP(W$3,'Returns &amp; Bonus'!$A$5:$B$15,2,0)))</f>
        <v>4798.2138240000004</v>
      </c>
      <c r="X34" s="57">
        <f>IF(X$3=2010,M34*(1+VLOOKUP(X$3,'Returns &amp; Bonus'!$A$5:$B$15,2,0)),(M34+W34)*(1+VLOOKUP(X$3,'Returns &amp; Bonus'!$A$5:$B$15,2,0)))</f>
        <v>5835.1295475200004</v>
      </c>
      <c r="Y34" s="57">
        <f>IF(Y$3=2010,N34*(1+VLOOKUP(Y$3,'Returns &amp; Bonus'!$A$5:$B$15,2,0)),(N34+X34)*(1+VLOOKUP(Y$3,'Returns &amp; Bonus'!$A$5:$B$15,2,0)))</f>
        <v>6641.5730701439998</v>
      </c>
      <c r="Z34" s="57">
        <f>IF(Z$3=2010,O34*(1+VLOOKUP(Z$3,'Returns &amp; Bonus'!$A$5:$B$15,2,0)),(O34+Y34)*(1+VLOOKUP(Z$3,'Returns &amp; Bonus'!$A$5:$B$15,2,0)))</f>
        <v>8811.2575692627197</v>
      </c>
      <c r="AA34" s="57">
        <f>IF(AA$3=2010,P34*(1+VLOOKUP(AA$3,'Returns &amp; Bonus'!$A$5:$B$15,2,0)),(P34+Z34)*(1+VLOOKUP(AA$3,'Returns &amp; Bonus'!$A$5:$B$15,2,0)))</f>
        <v>11063.655901881621</v>
      </c>
      <c r="AB34" s="81">
        <f>IF(AB$3=2010,Q34*(1+VLOOKUP(AB$3,'Returns &amp; Bonus'!$A$5:$B$15,2,0)),(Q34+AA34)*(1+VLOOKUP(AB$3,'Returns &amp; Bonus'!$A$5:$B$15,2,0)))</f>
        <v>11975.262783843988</v>
      </c>
      <c r="AC34" s="85"/>
      <c r="AD34" s="58">
        <f t="shared" si="2"/>
        <v>11303.350283843987</v>
      </c>
      <c r="AE34" s="58">
        <f t="shared" si="3"/>
        <v>0</v>
      </c>
      <c r="AF34" s="58">
        <f t="shared" si="9"/>
        <v>671.91249999999991</v>
      </c>
      <c r="AG34" s="58">
        <f t="shared" si="10"/>
        <v>11303.350283843987</v>
      </c>
      <c r="AH34" s="55">
        <f>IF(VLOOKUP(A34,'Data &amp; Formulae'!$A$11:$F$91,6,0)="Y",BonusFundProp*AF34*VLOOKUP(YEAR(B34),'Returns &amp; Bonus'!$G$4:$I$15,3,0),0)</f>
        <v>147.82075</v>
      </c>
      <c r="AI34" s="55">
        <f>IF(VLOOKUP(A34,'Data &amp; Formulae'!$A$11:$F$91,6,0)="Y",ClaimFundProp*AF34+AH34,0)</f>
        <v>685.35074999999995</v>
      </c>
      <c r="AJ34" s="55">
        <f t="shared" si="4"/>
        <v>685.35074999999995</v>
      </c>
      <c r="AK34" s="55">
        <f t="shared" si="11"/>
        <v>-13.438250000000039</v>
      </c>
      <c r="AL34" s="60"/>
      <c r="AM34" s="71">
        <f t="shared" si="5"/>
        <v>685.35074999999995</v>
      </c>
      <c r="AN34" s="55">
        <f t="shared" si="12"/>
        <v>-13.438250000000039</v>
      </c>
      <c r="AO34" s="60"/>
      <c r="AP34" s="71">
        <f>IF(VLOOKUP(A34,'Data &amp; Formulae'!$A$11:$F$91,6,0)="Y",Scen2Bonus*AF34,0)</f>
        <v>141.10162499999998</v>
      </c>
      <c r="AQ34" s="55">
        <f>IF(VLOOKUP(A34,'Data &amp; Formulae'!$A$11:$F$91,6,0)="Y",ClaimFundProp*AF34+AP34,0)</f>
        <v>678.63162499999999</v>
      </c>
      <c r="AR34" s="55">
        <f t="shared" si="6"/>
        <v>678.63162499999999</v>
      </c>
      <c r="AS34" s="55">
        <f t="shared" si="13"/>
        <v>-6.7191250000000764</v>
      </c>
      <c r="AT34" s="60"/>
      <c r="AU34" s="71">
        <f>IF(VLOOKUP(A34,'Data &amp; Formulae'!$A$11:$F$91,6,0)="Y",SurrPay*AF34,0)</f>
        <v>16.797812499999999</v>
      </c>
      <c r="AV34" s="73"/>
      <c r="AX34" s="4" t="b">
        <f t="shared" si="7"/>
        <v>1</v>
      </c>
      <c r="AY34" s="89" t="e">
        <f>(S34/(R34+H34)-1)-VLOOKUP(AY$3,'Returns &amp; Bonus'!$A$5:$B$15,2,0)</f>
        <v>#DIV/0!</v>
      </c>
      <c r="AZ34" s="89" t="e">
        <f>(T34/(S34+I34)-1)-VLOOKUP(AZ$3,'Returns &amp; Bonus'!$A$5:$B$15,2,0)</f>
        <v>#DIV/0!</v>
      </c>
      <c r="BA34" s="89">
        <f>(U34/(T34+J34)-1)-VLOOKUP(BA$3,'Returns &amp; Bonus'!$A$5:$B$15,2,0)</f>
        <v>0</v>
      </c>
      <c r="BB34" s="89">
        <f>(V34/(U34+K34)-1)-VLOOKUP(BB$3,'Returns &amp; Bonus'!$A$5:$B$15,2,0)</f>
        <v>0</v>
      </c>
      <c r="BC34" s="89">
        <f>(W34/(V34+L34)-1)-VLOOKUP(BC$3,'Returns &amp; Bonus'!$A$5:$B$15,2,0)</f>
        <v>0</v>
      </c>
      <c r="BD34" s="89">
        <f>(X34/(W34+M34)-1)-VLOOKUP(BD$3,'Returns &amp; Bonus'!$A$5:$B$15,2,0)</f>
        <v>0</v>
      </c>
      <c r="BE34" s="89">
        <f>(Y34/(X34+N34)-1)-VLOOKUP(BE$3,'Returns &amp; Bonus'!$A$5:$B$15,2,0)</f>
        <v>0</v>
      </c>
      <c r="BF34" s="89">
        <f>(Z34/(Y34+O34)-1)-VLOOKUP(BF$3,'Returns &amp; Bonus'!$A$5:$B$15,2,0)</f>
        <v>0</v>
      </c>
      <c r="BG34" s="89">
        <f>(AA34/(Z34+P34)-1)-VLOOKUP(BG$3,'Returns &amp; Bonus'!$A$5:$B$15,2,0)</f>
        <v>0</v>
      </c>
      <c r="BH34" s="89">
        <f>(AB34/(AA34+Q34)-1)-VLOOKUP(BH$3,'Returns &amp; Bonus'!$A$5:$B$15,2,0)</f>
        <v>0</v>
      </c>
    </row>
    <row r="35" spans="1:60" x14ac:dyDescent="0.25">
      <c r="A35" s="77">
        <f>'Amended Data'!A35</f>
        <v>32</v>
      </c>
      <c r="B35" s="75">
        <f>'Amended Data'!K35</f>
        <v>41275</v>
      </c>
      <c r="C35" s="55">
        <f>'Amended Data'!J35</f>
        <v>10000</v>
      </c>
      <c r="D35" s="56">
        <f>'Amended Data'!L35</f>
        <v>21</v>
      </c>
      <c r="E35" s="57">
        <f>'Amended Data'!M35</f>
        <v>18627.839999999997</v>
      </c>
      <c r="F35" s="57" t="str">
        <f>'Data &amp; Formulae'!H43</f>
        <v>Y</v>
      </c>
      <c r="G35" s="57">
        <f t="shared" si="14"/>
        <v>0</v>
      </c>
      <c r="H35" s="57">
        <f t="shared" si="14"/>
        <v>0</v>
      </c>
      <c r="I35" s="57">
        <f t="shared" si="14"/>
        <v>0</v>
      </c>
      <c r="J35" s="57">
        <f t="shared" si="14"/>
        <v>10000</v>
      </c>
      <c r="K35" s="57">
        <f t="shared" si="14"/>
        <v>10000</v>
      </c>
      <c r="L35" s="57">
        <f t="shared" si="14"/>
        <v>10000</v>
      </c>
      <c r="M35" s="57">
        <f t="shared" si="14"/>
        <v>10000</v>
      </c>
      <c r="N35" s="57">
        <f t="shared" si="14"/>
        <v>10000</v>
      </c>
      <c r="O35" s="57">
        <f t="shared" si="14"/>
        <v>10000</v>
      </c>
      <c r="P35" s="57">
        <f t="shared" si="14"/>
        <v>10000</v>
      </c>
      <c r="Q35" s="57">
        <f t="shared" si="14"/>
        <v>10000</v>
      </c>
      <c r="R35" s="57">
        <f>IF(R$3=2010,G35*(1+VLOOKUP(R$3,'Returns &amp; Bonus'!$A$5:$B$15,2,0)),(G35+Q35)*(1+VLOOKUP(R$3,'Returns &amp; Bonus'!$A$5:$B$15,2,0)))</f>
        <v>0</v>
      </c>
      <c r="S35" s="57">
        <f>IF(S$3=2010,H35*(1+VLOOKUP(S$3,'Returns &amp; Bonus'!$A$5:$B$15,2,0)),(H35+R35)*(1+VLOOKUP(S$3,'Returns &amp; Bonus'!$A$5:$B$15,2,0)))</f>
        <v>0</v>
      </c>
      <c r="T35" s="57">
        <f>IF(T$3=2010,I35*(1+VLOOKUP(T$3,'Returns &amp; Bonus'!$A$5:$B$15,2,0)),(I35+S35)*(1+VLOOKUP(T$3,'Returns &amp; Bonus'!$A$5:$B$15,2,0)))</f>
        <v>0</v>
      </c>
      <c r="U35" s="57">
        <f>IF(U$3=2010,J35*(1+VLOOKUP(U$3,'Returns &amp; Bonus'!$A$5:$B$15,2,0)),(J35+T35)*(1+VLOOKUP(U$3,'Returns &amp; Bonus'!$A$5:$B$15,2,0)))</f>
        <v>12400</v>
      </c>
      <c r="V35" s="57">
        <f>IF(V$3=2010,K35*(1+VLOOKUP(V$3,'Returns &amp; Bonus'!$A$5:$B$15,2,0)),(K35+U35)*(1+VLOOKUP(V$3,'Returns &amp; Bonus'!$A$5:$B$15,2,0)))</f>
        <v>22176</v>
      </c>
      <c r="W35" s="57">
        <f>IF(W$3=2010,L35*(1+VLOOKUP(W$3,'Returns &amp; Bonus'!$A$5:$B$15,2,0)),(L35+V35)*(1+VLOOKUP(W$3,'Returns &amp; Bonus'!$A$5:$B$15,2,0)))</f>
        <v>41507.040000000001</v>
      </c>
      <c r="X35" s="57">
        <f>IF(X$3=2010,M35*(1+VLOOKUP(X$3,'Returns &amp; Bonus'!$A$5:$B$15,2,0)),(M35+W35)*(1+VLOOKUP(X$3,'Returns &amp; Bonus'!$A$5:$B$15,2,0)))</f>
        <v>50476.8992</v>
      </c>
      <c r="Y35" s="57">
        <f>IF(Y$3=2010,N35*(1+VLOOKUP(Y$3,'Returns &amp; Bonus'!$A$5:$B$15,2,0)),(N35+X35)*(1+VLOOKUP(Y$3,'Returns &amp; Bonus'!$A$5:$B$15,2,0)))</f>
        <v>57453.054239999998</v>
      </c>
      <c r="Z35" s="57">
        <f>IF(Z$3=2010,O35*(1+VLOOKUP(Z$3,'Returns &amp; Bonus'!$A$5:$B$15,2,0)),(O35+Y35)*(1+VLOOKUP(Z$3,'Returns &amp; Bonus'!$A$5:$B$15,2,0)))</f>
        <v>76221.951291199992</v>
      </c>
      <c r="AA35" s="57">
        <f>IF(AA$3=2010,P35*(1+VLOOKUP(AA$3,'Returns &amp; Bonus'!$A$5:$B$15,2,0)),(P35+Z35)*(1+VLOOKUP(AA$3,'Returns &amp; Bonus'!$A$5:$B$15,2,0)))</f>
        <v>95706.365933231995</v>
      </c>
      <c r="AB35" s="81">
        <f>IF(AB$3=2010,Q35*(1+VLOOKUP(AB$3,'Returns &amp; Bonus'!$A$5:$B$15,2,0)),(Q35+AA35)*(1+VLOOKUP(AB$3,'Returns &amp; Bonus'!$A$5:$B$15,2,0)))</f>
        <v>103592.23861456735</v>
      </c>
      <c r="AC35" s="85"/>
      <c r="AD35" s="58">
        <f t="shared" si="2"/>
        <v>84964.398614567355</v>
      </c>
      <c r="AE35" s="58">
        <f t="shared" si="3"/>
        <v>0</v>
      </c>
      <c r="AF35" s="58">
        <f t="shared" si="9"/>
        <v>18627.839999999997</v>
      </c>
      <c r="AG35" s="58">
        <f t="shared" si="10"/>
        <v>84964.398614567355</v>
      </c>
      <c r="AH35" s="55">
        <f>IF(VLOOKUP(A35,'Data &amp; Formulae'!$A$11:$F$91,6,0)="Y",BonusFundProp*AF35*VLOOKUP(YEAR(B35),'Returns &amp; Bonus'!$G$4:$I$15,3,0),0)</f>
        <v>4098.1247999999996</v>
      </c>
      <c r="AI35" s="55">
        <f>IF(VLOOKUP(A35,'Data &amp; Formulae'!$A$11:$F$91,6,0)="Y",ClaimFundProp*AF35+AH35,0)</f>
        <v>19000.396799999995</v>
      </c>
      <c r="AJ35" s="55">
        <f t="shared" si="4"/>
        <v>19000.396799999995</v>
      </c>
      <c r="AK35" s="55">
        <f t="shared" si="11"/>
        <v>-372.55679999999847</v>
      </c>
      <c r="AL35" s="60"/>
      <c r="AM35" s="71">
        <f t="shared" si="5"/>
        <v>19000.396799999995</v>
      </c>
      <c r="AN35" s="55">
        <f t="shared" si="12"/>
        <v>-372.55679999999847</v>
      </c>
      <c r="AO35" s="60"/>
      <c r="AP35" s="71">
        <f>IF(VLOOKUP(A35,'Data &amp; Formulae'!$A$11:$F$91,6,0)="Y",Scen2Bonus*AF35,0)</f>
        <v>3911.846399999999</v>
      </c>
      <c r="AQ35" s="55">
        <f>IF(VLOOKUP(A35,'Data &amp; Formulae'!$A$11:$F$91,6,0)="Y",ClaimFundProp*AF35+AP35,0)</f>
        <v>18814.118399999996</v>
      </c>
      <c r="AR35" s="55">
        <f t="shared" si="6"/>
        <v>18814.118399999996</v>
      </c>
      <c r="AS35" s="55">
        <f t="shared" si="13"/>
        <v>-186.27839999999924</v>
      </c>
      <c r="AT35" s="60"/>
      <c r="AU35" s="71">
        <f>IF(VLOOKUP(A35,'Data &amp; Formulae'!$A$11:$F$91,6,0)="Y",SurrPay*AF35,0)</f>
        <v>465.69599999999991</v>
      </c>
      <c r="AV35" s="73"/>
      <c r="AX35" s="4" t="b">
        <f t="shared" si="7"/>
        <v>1</v>
      </c>
      <c r="AY35" s="89" t="e">
        <f>(S35/(R35+H35)-1)-VLOOKUP(AY$3,'Returns &amp; Bonus'!$A$5:$B$15,2,0)</f>
        <v>#DIV/0!</v>
      </c>
      <c r="AZ35" s="89" t="e">
        <f>(T35/(S35+I35)-1)-VLOOKUP(AZ$3,'Returns &amp; Bonus'!$A$5:$B$15,2,0)</f>
        <v>#DIV/0!</v>
      </c>
      <c r="BA35" s="89">
        <f>(U35/(T35+J35)-1)-VLOOKUP(BA$3,'Returns &amp; Bonus'!$A$5:$B$15,2,0)</f>
        <v>0</v>
      </c>
      <c r="BB35" s="89">
        <f>(V35/(U35+K35)-1)-VLOOKUP(BB$3,'Returns &amp; Bonus'!$A$5:$B$15,2,0)</f>
        <v>0</v>
      </c>
      <c r="BC35" s="89">
        <f>(W35/(V35+L35)-1)-VLOOKUP(BC$3,'Returns &amp; Bonus'!$A$5:$B$15,2,0)</f>
        <v>0</v>
      </c>
      <c r="BD35" s="89">
        <f>(X35/(W35+M35)-1)-VLOOKUP(BD$3,'Returns &amp; Bonus'!$A$5:$B$15,2,0)</f>
        <v>0</v>
      </c>
      <c r="BE35" s="89">
        <f>(Y35/(X35+N35)-1)-VLOOKUP(BE$3,'Returns &amp; Bonus'!$A$5:$B$15,2,0)</f>
        <v>0</v>
      </c>
      <c r="BF35" s="89">
        <f>(Z35/(Y35+O35)-1)-VLOOKUP(BF$3,'Returns &amp; Bonus'!$A$5:$B$15,2,0)</f>
        <v>0</v>
      </c>
      <c r="BG35" s="89">
        <f>(AA35/(Z35+P35)-1)-VLOOKUP(BG$3,'Returns &amp; Bonus'!$A$5:$B$15,2,0)</f>
        <v>0</v>
      </c>
      <c r="BH35" s="89">
        <f>(AB35/(AA35+Q35)-1)-VLOOKUP(BH$3,'Returns &amp; Bonus'!$A$5:$B$15,2,0)</f>
        <v>0</v>
      </c>
    </row>
    <row r="36" spans="1:60" x14ac:dyDescent="0.25">
      <c r="A36" s="77">
        <f>'Amended Data'!A36</f>
        <v>33</v>
      </c>
      <c r="B36" s="75">
        <f>'Amended Data'!K36</f>
        <v>41275</v>
      </c>
      <c r="C36" s="55">
        <f>'Amended Data'!J36</f>
        <v>2551</v>
      </c>
      <c r="D36" s="56">
        <f>'Amended Data'!L36</f>
        <v>26</v>
      </c>
      <c r="E36" s="57">
        <f>'Amended Data'!M36</f>
        <v>26426.380070576131</v>
      </c>
      <c r="F36" s="57" t="str">
        <f>'Data &amp; Formulae'!H44</f>
        <v>N</v>
      </c>
      <c r="G36" s="57">
        <f t="shared" si="14"/>
        <v>0</v>
      </c>
      <c r="H36" s="57">
        <f t="shared" si="14"/>
        <v>0</v>
      </c>
      <c r="I36" s="57">
        <f t="shared" si="14"/>
        <v>0</v>
      </c>
      <c r="J36" s="57">
        <f t="shared" si="14"/>
        <v>2551</v>
      </c>
      <c r="K36" s="57">
        <f t="shared" si="14"/>
        <v>2551</v>
      </c>
      <c r="L36" s="57">
        <f t="shared" si="14"/>
        <v>2551</v>
      </c>
      <c r="M36" s="57">
        <f t="shared" si="14"/>
        <v>2551</v>
      </c>
      <c r="N36" s="57">
        <f t="shared" si="14"/>
        <v>2551</v>
      </c>
      <c r="O36" s="57">
        <f t="shared" si="14"/>
        <v>2551</v>
      </c>
      <c r="P36" s="57">
        <f t="shared" si="14"/>
        <v>2551</v>
      </c>
      <c r="Q36" s="57">
        <f t="shared" si="14"/>
        <v>2551</v>
      </c>
      <c r="R36" s="57">
        <f>IF(R$3=2010,G36*(1+VLOOKUP(R$3,'Returns &amp; Bonus'!$A$5:$B$15,2,0)),(G36+Q36)*(1+VLOOKUP(R$3,'Returns &amp; Bonus'!$A$5:$B$15,2,0)))</f>
        <v>0</v>
      </c>
      <c r="S36" s="57">
        <f>IF(S$3=2010,H36*(1+VLOOKUP(S$3,'Returns &amp; Bonus'!$A$5:$B$15,2,0)),(H36+R36)*(1+VLOOKUP(S$3,'Returns &amp; Bonus'!$A$5:$B$15,2,0)))</f>
        <v>0</v>
      </c>
      <c r="T36" s="57">
        <f>IF(T$3=2010,I36*(1+VLOOKUP(T$3,'Returns &amp; Bonus'!$A$5:$B$15,2,0)),(I36+S36)*(1+VLOOKUP(T$3,'Returns &amp; Bonus'!$A$5:$B$15,2,0)))</f>
        <v>0</v>
      </c>
      <c r="U36" s="57">
        <f>IF(U$3=2010,J36*(1+VLOOKUP(U$3,'Returns &amp; Bonus'!$A$5:$B$15,2,0)),(J36+T36)*(1+VLOOKUP(U$3,'Returns &amp; Bonus'!$A$5:$B$15,2,0)))</f>
        <v>3163.24</v>
      </c>
      <c r="V36" s="57">
        <f>IF(V$3=2010,K36*(1+VLOOKUP(V$3,'Returns &amp; Bonus'!$A$5:$B$15,2,0)),(K36+U36)*(1+VLOOKUP(V$3,'Returns &amp; Bonus'!$A$5:$B$15,2,0)))</f>
        <v>5657.0976000000001</v>
      </c>
      <c r="W36" s="57">
        <f>IF(W$3=2010,L36*(1+VLOOKUP(W$3,'Returns &amp; Bonus'!$A$5:$B$15,2,0)),(L36+V36)*(1+VLOOKUP(W$3,'Returns &amp; Bonus'!$A$5:$B$15,2,0)))</f>
        <v>10588.445904000002</v>
      </c>
      <c r="X36" s="57">
        <f>IF(X$3=2010,M36*(1+VLOOKUP(X$3,'Returns &amp; Bonus'!$A$5:$B$15,2,0)),(M36+W36)*(1+VLOOKUP(X$3,'Returns &amp; Bonus'!$A$5:$B$15,2,0)))</f>
        <v>12876.656985920001</v>
      </c>
      <c r="Y36" s="57">
        <f>IF(Y$3=2010,N36*(1+VLOOKUP(Y$3,'Returns &amp; Bonus'!$A$5:$B$15,2,0)),(N36+X36)*(1+VLOOKUP(Y$3,'Returns &amp; Bonus'!$A$5:$B$15,2,0)))</f>
        <v>14656.274136624001</v>
      </c>
      <c r="Z36" s="57">
        <f>IF(Z$3=2010,O36*(1+VLOOKUP(Z$3,'Returns &amp; Bonus'!$A$5:$B$15,2,0)),(O36+Y36)*(1+VLOOKUP(Z$3,'Returns &amp; Bonus'!$A$5:$B$15,2,0)))</f>
        <v>19444.219774385117</v>
      </c>
      <c r="AA36" s="57">
        <f>IF(AA$3=2010,P36*(1+VLOOKUP(AA$3,'Returns &amp; Bonus'!$A$5:$B$15,2,0)),(P36+Z36)*(1+VLOOKUP(AA$3,'Returns &amp; Bonus'!$A$5:$B$15,2,0)))</f>
        <v>24414.693949567481</v>
      </c>
      <c r="AB36" s="81">
        <f>IF(AB$3=2010,Q36*(1+VLOOKUP(AB$3,'Returns &amp; Bonus'!$A$5:$B$15,2,0)),(Q36+AA36)*(1+VLOOKUP(AB$3,'Returns &amp; Bonus'!$A$5:$B$15,2,0)))</f>
        <v>26426.380070576131</v>
      </c>
      <c r="AC36" s="85"/>
      <c r="AD36" s="58">
        <f t="shared" ref="AD36:AD67" si="15">AB36-E36</f>
        <v>0</v>
      </c>
      <c r="AE36" s="58">
        <f t="shared" ref="AE36:AE67" si="16">IF(F36="N",IF(AD36&lt;&gt;0,"ERROR",0),0)</f>
        <v>0</v>
      </c>
      <c r="AF36" s="58">
        <f t="shared" si="9"/>
        <v>26426.380070576131</v>
      </c>
      <c r="AG36" s="58">
        <f t="shared" si="10"/>
        <v>0</v>
      </c>
      <c r="AH36" s="55">
        <f>IF(VLOOKUP(A36,'Data &amp; Formulae'!$A$11:$F$91,6,0)="Y",BonusFundProp*AF36*VLOOKUP(YEAR(B36),'Returns &amp; Bonus'!$G$4:$I$15,3,0),0)</f>
        <v>5813.80361552675</v>
      </c>
      <c r="AI36" s="55">
        <f>IF(VLOOKUP(A36,'Data &amp; Formulae'!$A$11:$F$91,6,0)="Y",ClaimFundProp*AF36+AH36,0)</f>
        <v>26954.907671987658</v>
      </c>
      <c r="AJ36" s="55">
        <f t="shared" ref="AJ36:AJ67" si="17">IF((AI36+AG36)&gt;C36*D36*BaseLimit,MAX((C36*D36*BaseLimit-AG36),0),AI36)</f>
        <v>26954.907671987658</v>
      </c>
      <c r="AK36" s="55">
        <f t="shared" si="11"/>
        <v>-528.52760141152612</v>
      </c>
      <c r="AL36" s="60"/>
      <c r="AM36" s="71">
        <f t="shared" ref="AM36:AM67" si="18">IF((AI36+AG36)&gt;C36*D36*Scen1Limit,MAX((C36*D36*Scen1Limit-AG36),0),AI36)</f>
        <v>26954.907671987658</v>
      </c>
      <c r="AN36" s="55">
        <f t="shared" si="12"/>
        <v>-528.52760141152612</v>
      </c>
      <c r="AO36" s="60"/>
      <c r="AP36" s="71">
        <f>IF(VLOOKUP(A36,'Data &amp; Formulae'!$A$11:$F$91,6,0)="Y",Scen2Bonus*AF36,0)</f>
        <v>5549.539814820987</v>
      </c>
      <c r="AQ36" s="55">
        <f>IF(VLOOKUP(A36,'Data &amp; Formulae'!$A$11:$F$91,6,0)="Y",ClaimFundProp*AF36+AP36,0)</f>
        <v>26690.643871281893</v>
      </c>
      <c r="AR36" s="55">
        <f t="shared" ref="AR36:AR67" si="19">IF((AQ36+AG36)&gt;C36*D36*BaseLimit,MAX((C36*D36*BaseLimit-AG36),0),AQ36)</f>
        <v>26690.643871281893</v>
      </c>
      <c r="AS36" s="55">
        <f t="shared" si="13"/>
        <v>-264.26380070576124</v>
      </c>
      <c r="AT36" s="60"/>
      <c r="AU36" s="71">
        <f>IF(VLOOKUP(A36,'Data &amp; Formulae'!$A$11:$F$91,6,0)="Y",SurrPay*AF36,0)</f>
        <v>660.65950176440333</v>
      </c>
      <c r="AV36" s="73"/>
      <c r="AX36" s="4" t="b">
        <f t="shared" ref="AX36:AX67" si="20">SUM(G36:Q36)=C36*(YEAR(ValDate)-YEAR(B36)+1)</f>
        <v>1</v>
      </c>
      <c r="AY36" s="89" t="e">
        <f>(S36/(R36+H36)-1)-VLOOKUP(AY$3,'Returns &amp; Bonus'!$A$5:$B$15,2,0)</f>
        <v>#DIV/0!</v>
      </c>
      <c r="AZ36" s="89" t="e">
        <f>(T36/(S36+I36)-1)-VLOOKUP(AZ$3,'Returns &amp; Bonus'!$A$5:$B$15,2,0)</f>
        <v>#DIV/0!</v>
      </c>
      <c r="BA36" s="89">
        <f>(U36/(T36+J36)-1)-VLOOKUP(BA$3,'Returns &amp; Bonus'!$A$5:$B$15,2,0)</f>
        <v>0</v>
      </c>
      <c r="BB36" s="89">
        <f>(V36/(U36+K36)-1)-VLOOKUP(BB$3,'Returns &amp; Bonus'!$A$5:$B$15,2,0)</f>
        <v>1.0234868508263162E-16</v>
      </c>
      <c r="BC36" s="89">
        <f>(W36/(V36+L36)-1)-VLOOKUP(BC$3,'Returns &amp; Bonus'!$A$5:$B$15,2,0)</f>
        <v>0</v>
      </c>
      <c r="BD36" s="89">
        <f>(X36/(W36+M36)-1)-VLOOKUP(BD$3,'Returns &amp; Bonus'!$A$5:$B$15,2,0)</f>
        <v>-1.2836953722228372E-16</v>
      </c>
      <c r="BE36" s="89">
        <f>(Y36/(X36+N36)-1)-VLOOKUP(BE$3,'Returns &amp; Bonus'!$A$5:$B$15,2,0)</f>
        <v>0</v>
      </c>
      <c r="BF36" s="89">
        <f>(Z36/(Y36+O36)-1)-VLOOKUP(BF$3,'Returns &amp; Bonus'!$A$5:$B$15,2,0)</f>
        <v>0</v>
      </c>
      <c r="BG36" s="89">
        <f>(AA36/(Z36+P36)-1)-VLOOKUP(BG$3,'Returns &amp; Bonus'!$A$5:$B$15,2,0)</f>
        <v>0</v>
      </c>
      <c r="BH36" s="89">
        <f>(AB36/(AA36+Q36)-1)-VLOOKUP(BH$3,'Returns &amp; Bonus'!$A$5:$B$15,2,0)</f>
        <v>0</v>
      </c>
    </row>
    <row r="37" spans="1:60" x14ac:dyDescent="0.25">
      <c r="A37" s="77">
        <f>'Amended Data'!A37</f>
        <v>34</v>
      </c>
      <c r="B37" s="75">
        <f>'Amended Data'!K37</f>
        <v>41275</v>
      </c>
      <c r="C37" s="55">
        <f>'Amended Data'!J37</f>
        <v>7495</v>
      </c>
      <c r="D37" s="56">
        <f>'Amended Data'!L37</f>
        <v>17</v>
      </c>
      <c r="E37" s="57">
        <f>'Amended Data'!M37</f>
        <v>15077.667499999998</v>
      </c>
      <c r="F37" s="57" t="str">
        <f>'Data &amp; Formulae'!H45</f>
        <v>Y</v>
      </c>
      <c r="G37" s="57">
        <f t="shared" ref="G37:Q52" si="21">IF(YEAR($B37)&lt;=G$3,$C37,0)</f>
        <v>0</v>
      </c>
      <c r="H37" s="57">
        <f t="shared" si="21"/>
        <v>0</v>
      </c>
      <c r="I37" s="57">
        <f t="shared" si="21"/>
        <v>0</v>
      </c>
      <c r="J37" s="57">
        <f t="shared" si="21"/>
        <v>7495</v>
      </c>
      <c r="K37" s="57">
        <f t="shared" si="21"/>
        <v>7495</v>
      </c>
      <c r="L37" s="57">
        <f t="shared" si="21"/>
        <v>7495</v>
      </c>
      <c r="M37" s="57">
        <f t="shared" si="21"/>
        <v>7495</v>
      </c>
      <c r="N37" s="57">
        <f t="shared" si="21"/>
        <v>7495</v>
      </c>
      <c r="O37" s="57">
        <f t="shared" si="21"/>
        <v>7495</v>
      </c>
      <c r="P37" s="57">
        <f t="shared" si="21"/>
        <v>7495</v>
      </c>
      <c r="Q37" s="57">
        <f t="shared" si="21"/>
        <v>7495</v>
      </c>
      <c r="R37" s="57">
        <f>IF(R$3=2010,G37*(1+VLOOKUP(R$3,'Returns &amp; Bonus'!$A$5:$B$15,2,0)),(G37+Q37)*(1+VLOOKUP(R$3,'Returns &amp; Bonus'!$A$5:$B$15,2,0)))</f>
        <v>0</v>
      </c>
      <c r="S37" s="57">
        <f>IF(S$3=2010,H37*(1+VLOOKUP(S$3,'Returns &amp; Bonus'!$A$5:$B$15,2,0)),(H37+R37)*(1+VLOOKUP(S$3,'Returns &amp; Bonus'!$A$5:$B$15,2,0)))</f>
        <v>0</v>
      </c>
      <c r="T37" s="57">
        <f>IF(T$3=2010,I37*(1+VLOOKUP(T$3,'Returns &amp; Bonus'!$A$5:$B$15,2,0)),(I37+S37)*(1+VLOOKUP(T$3,'Returns &amp; Bonus'!$A$5:$B$15,2,0)))</f>
        <v>0</v>
      </c>
      <c r="U37" s="57">
        <f>IF(U$3=2010,J37*(1+VLOOKUP(U$3,'Returns &amp; Bonus'!$A$5:$B$15,2,0)),(J37+T37)*(1+VLOOKUP(U$3,'Returns &amp; Bonus'!$A$5:$B$15,2,0)))</f>
        <v>9293.7999999999993</v>
      </c>
      <c r="V37" s="57">
        <f>IF(V$3=2010,K37*(1+VLOOKUP(V$3,'Returns &amp; Bonus'!$A$5:$B$15,2,0)),(K37+U37)*(1+VLOOKUP(V$3,'Returns &amp; Bonus'!$A$5:$B$15,2,0)))</f>
        <v>16620.912</v>
      </c>
      <c r="W37" s="57">
        <f>IF(W$3=2010,L37*(1+VLOOKUP(W$3,'Returns &amp; Bonus'!$A$5:$B$15,2,0)),(L37+V37)*(1+VLOOKUP(W$3,'Returns &amp; Bonus'!$A$5:$B$15,2,0)))</f>
        <v>31109.52648</v>
      </c>
      <c r="X37" s="57">
        <f>IF(X$3=2010,M37*(1+VLOOKUP(X$3,'Returns &amp; Bonus'!$A$5:$B$15,2,0)),(M37+W37)*(1+VLOOKUP(X$3,'Returns &amp; Bonus'!$A$5:$B$15,2,0)))</f>
        <v>37832.435950400002</v>
      </c>
      <c r="Y37" s="57">
        <f>IF(Y$3=2010,N37*(1+VLOOKUP(Y$3,'Returns &amp; Bonus'!$A$5:$B$15,2,0)),(N37+X37)*(1+VLOOKUP(Y$3,'Returns &amp; Bonus'!$A$5:$B$15,2,0)))</f>
        <v>43061.064152879997</v>
      </c>
      <c r="Z37" s="57">
        <f>IF(Z$3=2010,O37*(1+VLOOKUP(Z$3,'Returns &amp; Bonus'!$A$5:$B$15,2,0)),(O37+Y37)*(1+VLOOKUP(Z$3,'Returns &amp; Bonus'!$A$5:$B$15,2,0)))</f>
        <v>57128.352492754391</v>
      </c>
      <c r="AA37" s="57">
        <f>IF(AA$3=2010,P37*(1+VLOOKUP(AA$3,'Returns &amp; Bonus'!$A$5:$B$15,2,0)),(P37+Z37)*(1+VLOOKUP(AA$3,'Returns &amp; Bonus'!$A$5:$B$15,2,0)))</f>
        <v>71731.921266957375</v>
      </c>
      <c r="AB37" s="81">
        <f>IF(AB$3=2010,Q37*(1+VLOOKUP(AB$3,'Returns &amp; Bonus'!$A$5:$B$15,2,0)),(Q37+AA37)*(1+VLOOKUP(AB$3,'Returns &amp; Bonus'!$A$5:$B$15,2,0)))</f>
        <v>77642.382841618222</v>
      </c>
      <c r="AC37" s="85"/>
      <c r="AD37" s="58">
        <f t="shared" si="15"/>
        <v>62564.715341618226</v>
      </c>
      <c r="AE37" s="58">
        <f t="shared" si="16"/>
        <v>0</v>
      </c>
      <c r="AF37" s="58">
        <f t="shared" si="9"/>
        <v>15077.667499999998</v>
      </c>
      <c r="AG37" s="58">
        <f t="shared" si="10"/>
        <v>62564.715341618226</v>
      </c>
      <c r="AH37" s="55">
        <f>IF(VLOOKUP(A37,'Data &amp; Formulae'!$A$11:$F$91,6,0)="Y",BonusFundProp*AF37*VLOOKUP(YEAR(B37),'Returns &amp; Bonus'!$G$4:$I$15,3,0),0)</f>
        <v>3317.0868499999997</v>
      </c>
      <c r="AI37" s="55">
        <f>IF(VLOOKUP(A37,'Data &amp; Formulae'!$A$11:$F$91,6,0)="Y",ClaimFundProp*AF37+AH37,0)</f>
        <v>15379.220849999998</v>
      </c>
      <c r="AJ37" s="55">
        <f t="shared" si="17"/>
        <v>15379.220849999998</v>
      </c>
      <c r="AK37" s="55">
        <f t="shared" si="11"/>
        <v>-301.55335000000014</v>
      </c>
      <c r="AL37" s="60"/>
      <c r="AM37" s="71">
        <f t="shared" si="18"/>
        <v>15379.220849999998</v>
      </c>
      <c r="AN37" s="55">
        <f t="shared" si="12"/>
        <v>-301.55335000000014</v>
      </c>
      <c r="AO37" s="60"/>
      <c r="AP37" s="71">
        <f>IF(VLOOKUP(A37,'Data &amp; Formulae'!$A$11:$F$91,6,0)="Y",Scen2Bonus*AF37,0)</f>
        <v>3166.3101749999996</v>
      </c>
      <c r="AQ37" s="55">
        <f>IF(VLOOKUP(A37,'Data &amp; Formulae'!$A$11:$F$91,6,0)="Y",ClaimFundProp*AF37+AP37,0)</f>
        <v>15228.444174999997</v>
      </c>
      <c r="AR37" s="55">
        <f t="shared" si="19"/>
        <v>15228.444174999997</v>
      </c>
      <c r="AS37" s="55">
        <f t="shared" si="13"/>
        <v>-150.77667499999916</v>
      </c>
      <c r="AT37" s="60"/>
      <c r="AU37" s="71">
        <f>IF(VLOOKUP(A37,'Data &amp; Formulae'!$A$11:$F$91,6,0)="Y",SurrPay*AF37,0)</f>
        <v>376.94168749999994</v>
      </c>
      <c r="AV37" s="73"/>
      <c r="AX37" s="4" t="b">
        <f t="shared" si="20"/>
        <v>1</v>
      </c>
      <c r="AY37" s="89" t="e">
        <f>(S37/(R37+H37)-1)-VLOOKUP(AY$3,'Returns &amp; Bonus'!$A$5:$B$15,2,0)</f>
        <v>#DIV/0!</v>
      </c>
      <c r="AZ37" s="89" t="e">
        <f>(T37/(S37+I37)-1)-VLOOKUP(AZ$3,'Returns &amp; Bonus'!$A$5:$B$15,2,0)</f>
        <v>#DIV/0!</v>
      </c>
      <c r="BA37" s="89">
        <f>(U37/(T37+J37)-1)-VLOOKUP(BA$3,'Returns &amp; Bonus'!$A$5:$B$15,2,0)</f>
        <v>0</v>
      </c>
      <c r="BB37" s="89">
        <f>(V37/(U37+K37)-1)-VLOOKUP(BB$3,'Returns &amp; Bonus'!$A$5:$B$15,2,0)</f>
        <v>1.0234868508263162E-16</v>
      </c>
      <c r="BC37" s="89">
        <f>(W37/(V37+L37)-1)-VLOOKUP(BC$3,'Returns &amp; Bonus'!$A$5:$B$15,2,0)</f>
        <v>0</v>
      </c>
      <c r="BD37" s="89">
        <f>(X37/(W37+M37)-1)-VLOOKUP(BD$3,'Returns &amp; Bonus'!$A$5:$B$15,2,0)</f>
        <v>9.3675067702747583E-17</v>
      </c>
      <c r="BE37" s="89">
        <f>(Y37/(X37+N37)-1)-VLOOKUP(BE$3,'Returns &amp; Bonus'!$A$5:$B$15,2,0)</f>
        <v>-1.5265566588595902E-16</v>
      </c>
      <c r="BF37" s="89">
        <f>(Z37/(Y37+O37)-1)-VLOOKUP(BF$3,'Returns &amp; Bonus'!$A$5:$B$15,2,0)</f>
        <v>0</v>
      </c>
      <c r="BG37" s="89">
        <f>(AA37/(Z37+P37)-1)-VLOOKUP(BG$3,'Returns &amp; Bonus'!$A$5:$B$15,2,0)</f>
        <v>0</v>
      </c>
      <c r="BH37" s="89">
        <f>(AB37/(AA37+Q37)-1)-VLOOKUP(BH$3,'Returns &amp; Bonus'!$A$5:$B$15,2,0)</f>
        <v>0</v>
      </c>
    </row>
    <row r="38" spans="1:60" x14ac:dyDescent="0.25">
      <c r="A38" s="77">
        <f>'Amended Data'!A38</f>
        <v>35</v>
      </c>
      <c r="B38" s="75">
        <f>'Amended Data'!K38</f>
        <v>41275</v>
      </c>
      <c r="C38" s="55">
        <f>'Amended Data'!J38</f>
        <v>4008</v>
      </c>
      <c r="D38" s="56">
        <f>'Amended Data'!L38</f>
        <v>30</v>
      </c>
      <c r="E38" s="57">
        <f>'Amended Data'!M38</f>
        <v>14335.684999999999</v>
      </c>
      <c r="F38" s="57" t="str">
        <f>'Data &amp; Formulae'!H46</f>
        <v>Y</v>
      </c>
      <c r="G38" s="57">
        <f t="shared" si="21"/>
        <v>0</v>
      </c>
      <c r="H38" s="57">
        <f t="shared" si="21"/>
        <v>0</v>
      </c>
      <c r="I38" s="57">
        <f t="shared" si="21"/>
        <v>0</v>
      </c>
      <c r="J38" s="57">
        <f t="shared" si="21"/>
        <v>4008</v>
      </c>
      <c r="K38" s="57">
        <f t="shared" si="21"/>
        <v>4008</v>
      </c>
      <c r="L38" s="57">
        <f t="shared" si="21"/>
        <v>4008</v>
      </c>
      <c r="M38" s="57">
        <f t="shared" si="21"/>
        <v>4008</v>
      </c>
      <c r="N38" s="57">
        <f t="shared" si="21"/>
        <v>4008</v>
      </c>
      <c r="O38" s="57">
        <f t="shared" si="21"/>
        <v>4008</v>
      </c>
      <c r="P38" s="57">
        <f t="shared" si="21"/>
        <v>4008</v>
      </c>
      <c r="Q38" s="57">
        <f t="shared" si="21"/>
        <v>4008</v>
      </c>
      <c r="R38" s="57">
        <f>IF(R$3=2010,G38*(1+VLOOKUP(R$3,'Returns &amp; Bonus'!$A$5:$B$15,2,0)),(G38+Q38)*(1+VLOOKUP(R$3,'Returns &amp; Bonus'!$A$5:$B$15,2,0)))</f>
        <v>0</v>
      </c>
      <c r="S38" s="57">
        <f>IF(S$3=2010,H38*(1+VLOOKUP(S$3,'Returns &amp; Bonus'!$A$5:$B$15,2,0)),(H38+R38)*(1+VLOOKUP(S$3,'Returns &amp; Bonus'!$A$5:$B$15,2,0)))</f>
        <v>0</v>
      </c>
      <c r="T38" s="57">
        <f>IF(T$3=2010,I38*(1+VLOOKUP(T$3,'Returns &amp; Bonus'!$A$5:$B$15,2,0)),(I38+S38)*(1+VLOOKUP(T$3,'Returns &amp; Bonus'!$A$5:$B$15,2,0)))</f>
        <v>0</v>
      </c>
      <c r="U38" s="57">
        <f>IF(U$3=2010,J38*(1+VLOOKUP(U$3,'Returns &amp; Bonus'!$A$5:$B$15,2,0)),(J38+T38)*(1+VLOOKUP(U$3,'Returns &amp; Bonus'!$A$5:$B$15,2,0)))</f>
        <v>4969.92</v>
      </c>
      <c r="V38" s="57">
        <f>IF(V$3=2010,K38*(1+VLOOKUP(V$3,'Returns &amp; Bonus'!$A$5:$B$15,2,0)),(K38+U38)*(1+VLOOKUP(V$3,'Returns &amp; Bonus'!$A$5:$B$15,2,0)))</f>
        <v>8888.1407999999992</v>
      </c>
      <c r="W38" s="57">
        <f>IF(W$3=2010,L38*(1+VLOOKUP(W$3,'Returns &amp; Bonus'!$A$5:$B$15,2,0)),(L38+V38)*(1+VLOOKUP(W$3,'Returns &amp; Bonus'!$A$5:$B$15,2,0)))</f>
        <v>16636.021632</v>
      </c>
      <c r="X38" s="57">
        <f>IF(X$3=2010,M38*(1+VLOOKUP(X$3,'Returns &amp; Bonus'!$A$5:$B$15,2,0)),(M38+W38)*(1+VLOOKUP(X$3,'Returns &amp; Bonus'!$A$5:$B$15,2,0)))</f>
        <v>20231.141199360001</v>
      </c>
      <c r="Y38" s="57">
        <f>IF(Y$3=2010,N38*(1+VLOOKUP(Y$3,'Returns &amp; Bonus'!$A$5:$B$15,2,0)),(N38+X38)*(1+VLOOKUP(Y$3,'Returns &amp; Bonus'!$A$5:$B$15,2,0)))</f>
        <v>23027.184139392</v>
      </c>
      <c r="Z38" s="57">
        <f>IF(Z$3=2010,O38*(1+VLOOKUP(Z$3,'Returns &amp; Bonus'!$A$5:$B$15,2,0)),(O38+Y38)*(1+VLOOKUP(Z$3,'Returns &amp; Bonus'!$A$5:$B$15,2,0)))</f>
        <v>30549.758077512957</v>
      </c>
      <c r="AA38" s="57">
        <f>IF(AA$3=2010,P38*(1+VLOOKUP(AA$3,'Returns &amp; Bonus'!$A$5:$B$15,2,0)),(P38+Z38)*(1+VLOOKUP(AA$3,'Returns &amp; Bonus'!$A$5:$B$15,2,0)))</f>
        <v>38359.111466039387</v>
      </c>
      <c r="AB38" s="81">
        <f>IF(AB$3=2010,Q38*(1+VLOOKUP(AB$3,'Returns &amp; Bonus'!$A$5:$B$15,2,0)),(Q38+AA38)*(1+VLOOKUP(AB$3,'Returns &amp; Bonus'!$A$5:$B$15,2,0)))</f>
        <v>41519.769236718595</v>
      </c>
      <c r="AC38" s="85"/>
      <c r="AD38" s="58">
        <f t="shared" si="15"/>
        <v>27184.084236718598</v>
      </c>
      <c r="AE38" s="58">
        <f t="shared" si="16"/>
        <v>0</v>
      </c>
      <c r="AF38" s="58">
        <f t="shared" si="9"/>
        <v>14335.684999999999</v>
      </c>
      <c r="AG38" s="58">
        <f t="shared" si="10"/>
        <v>27184.084236718598</v>
      </c>
      <c r="AH38" s="55">
        <f>IF(VLOOKUP(A38,'Data &amp; Formulae'!$A$11:$F$91,6,0)="Y",BonusFundProp*AF38*VLOOKUP(YEAR(B38),'Returns &amp; Bonus'!$G$4:$I$15,3,0),0)</f>
        <v>3153.8507000000004</v>
      </c>
      <c r="AI38" s="55">
        <f>IF(VLOOKUP(A38,'Data &amp; Formulae'!$A$11:$F$91,6,0)="Y",ClaimFundProp*AF38+AH38,0)</f>
        <v>14622.398700000002</v>
      </c>
      <c r="AJ38" s="55">
        <f t="shared" si="17"/>
        <v>14622.398700000002</v>
      </c>
      <c r="AK38" s="55">
        <f t="shared" si="11"/>
        <v>-286.71370000000206</v>
      </c>
      <c r="AL38" s="60"/>
      <c r="AM38" s="71">
        <f t="shared" si="18"/>
        <v>14622.398700000002</v>
      </c>
      <c r="AN38" s="55">
        <f t="shared" si="12"/>
        <v>-286.71370000000206</v>
      </c>
      <c r="AO38" s="60"/>
      <c r="AP38" s="71">
        <f>IF(VLOOKUP(A38,'Data &amp; Formulae'!$A$11:$F$91,6,0)="Y",Scen2Bonus*AF38,0)</f>
        <v>3010.4938499999998</v>
      </c>
      <c r="AQ38" s="55">
        <f>IF(VLOOKUP(A38,'Data &amp; Formulae'!$A$11:$F$91,6,0)="Y",ClaimFundProp*AF38+AP38,0)</f>
        <v>14479.041850000001</v>
      </c>
      <c r="AR38" s="55">
        <f t="shared" si="19"/>
        <v>14479.041850000001</v>
      </c>
      <c r="AS38" s="55">
        <f t="shared" si="13"/>
        <v>-143.35685000000194</v>
      </c>
      <c r="AT38" s="60"/>
      <c r="AU38" s="71">
        <f>IF(VLOOKUP(A38,'Data &amp; Formulae'!$A$11:$F$91,6,0)="Y",SurrPay*AF38,0)</f>
        <v>358.39212500000002</v>
      </c>
      <c r="AV38" s="73"/>
      <c r="AX38" s="4" t="b">
        <f t="shared" si="20"/>
        <v>1</v>
      </c>
      <c r="AY38" s="89" t="e">
        <f>(S38/(R38+H38)-1)-VLOOKUP(AY$3,'Returns &amp; Bonus'!$A$5:$B$15,2,0)</f>
        <v>#DIV/0!</v>
      </c>
      <c r="AZ38" s="89" t="e">
        <f>(T38/(S38+I38)-1)-VLOOKUP(AZ$3,'Returns &amp; Bonus'!$A$5:$B$15,2,0)</f>
        <v>#DIV/0!</v>
      </c>
      <c r="BA38" s="89">
        <f>(U38/(T38+J38)-1)-VLOOKUP(BA$3,'Returns &amp; Bonus'!$A$5:$B$15,2,0)</f>
        <v>0</v>
      </c>
      <c r="BB38" s="89">
        <f>(V38/(U38+K38)-1)-VLOOKUP(BB$3,'Returns &amp; Bonus'!$A$5:$B$15,2,0)</f>
        <v>-1.1969591984239969E-16</v>
      </c>
      <c r="BC38" s="89">
        <f>(W38/(V38+L38)-1)-VLOOKUP(BC$3,'Returns &amp; Bonus'!$A$5:$B$15,2,0)</f>
        <v>0</v>
      </c>
      <c r="BD38" s="89">
        <f>(X38/(W38+M38)-1)-VLOOKUP(BD$3,'Returns &amp; Bonus'!$A$5:$B$15,2,0)</f>
        <v>9.3675067702747583E-17</v>
      </c>
      <c r="BE38" s="89">
        <f>(Y38/(X38+N38)-1)-VLOOKUP(BE$3,'Returns &amp; Bonus'!$A$5:$B$15,2,0)</f>
        <v>0</v>
      </c>
      <c r="BF38" s="89">
        <f>(Z38/(Y38+O38)-1)-VLOOKUP(BF$3,'Returns &amp; Bonus'!$A$5:$B$15,2,0)</f>
        <v>0</v>
      </c>
      <c r="BG38" s="89">
        <f>(AA38/(Z38+P38)-1)-VLOOKUP(BG$3,'Returns &amp; Bonus'!$A$5:$B$15,2,0)</f>
        <v>0</v>
      </c>
      <c r="BH38" s="89">
        <f>(AB38/(AA38+Q38)-1)-VLOOKUP(BH$3,'Returns &amp; Bonus'!$A$5:$B$15,2,0)</f>
        <v>-1.2836953722228372E-16</v>
      </c>
    </row>
    <row r="39" spans="1:60" x14ac:dyDescent="0.25">
      <c r="A39" s="77">
        <f>'Amended Data'!A39</f>
        <v>36</v>
      </c>
      <c r="B39" s="75">
        <f>'Amended Data'!K39</f>
        <v>41275</v>
      </c>
      <c r="C39" s="55">
        <f>'Amended Data'!J39</f>
        <v>5764</v>
      </c>
      <c r="D39" s="56">
        <f>'Amended Data'!L39</f>
        <v>29</v>
      </c>
      <c r="E39" s="57">
        <f>'Amended Data'!M39</f>
        <v>20027.524999999998</v>
      </c>
      <c r="F39" s="57" t="str">
        <f>'Data &amp; Formulae'!H47</f>
        <v>Y</v>
      </c>
      <c r="G39" s="57">
        <f t="shared" si="21"/>
        <v>0</v>
      </c>
      <c r="H39" s="57">
        <f t="shared" si="21"/>
        <v>0</v>
      </c>
      <c r="I39" s="57">
        <f t="shared" si="21"/>
        <v>0</v>
      </c>
      <c r="J39" s="57">
        <f t="shared" si="21"/>
        <v>5764</v>
      </c>
      <c r="K39" s="57">
        <f t="shared" si="21"/>
        <v>5764</v>
      </c>
      <c r="L39" s="57">
        <f t="shared" si="21"/>
        <v>5764</v>
      </c>
      <c r="M39" s="57">
        <f t="shared" si="21"/>
        <v>5764</v>
      </c>
      <c r="N39" s="57">
        <f t="shared" si="21"/>
        <v>5764</v>
      </c>
      <c r="O39" s="57">
        <f t="shared" si="21"/>
        <v>5764</v>
      </c>
      <c r="P39" s="57">
        <f t="shared" si="21"/>
        <v>5764</v>
      </c>
      <c r="Q39" s="57">
        <f t="shared" si="21"/>
        <v>5764</v>
      </c>
      <c r="R39" s="57">
        <f>IF(R$3=2010,G39*(1+VLOOKUP(R$3,'Returns &amp; Bonus'!$A$5:$B$15,2,0)),(G39+Q39)*(1+VLOOKUP(R$3,'Returns &amp; Bonus'!$A$5:$B$15,2,0)))</f>
        <v>0</v>
      </c>
      <c r="S39" s="57">
        <f>IF(S$3=2010,H39*(1+VLOOKUP(S$3,'Returns &amp; Bonus'!$A$5:$B$15,2,0)),(H39+R39)*(1+VLOOKUP(S$3,'Returns &amp; Bonus'!$A$5:$B$15,2,0)))</f>
        <v>0</v>
      </c>
      <c r="T39" s="57">
        <f>IF(T$3=2010,I39*(1+VLOOKUP(T$3,'Returns &amp; Bonus'!$A$5:$B$15,2,0)),(I39+S39)*(1+VLOOKUP(T$3,'Returns &amp; Bonus'!$A$5:$B$15,2,0)))</f>
        <v>0</v>
      </c>
      <c r="U39" s="57">
        <f>IF(U$3=2010,J39*(1+VLOOKUP(U$3,'Returns &amp; Bonus'!$A$5:$B$15,2,0)),(J39+T39)*(1+VLOOKUP(U$3,'Returns &amp; Bonus'!$A$5:$B$15,2,0)))</f>
        <v>7147.36</v>
      </c>
      <c r="V39" s="57">
        <f>IF(V$3=2010,K39*(1+VLOOKUP(V$3,'Returns &amp; Bonus'!$A$5:$B$15,2,0)),(K39+U39)*(1+VLOOKUP(V$3,'Returns &amp; Bonus'!$A$5:$B$15,2,0)))</f>
        <v>12782.2464</v>
      </c>
      <c r="W39" s="57">
        <f>IF(W$3=2010,L39*(1+VLOOKUP(W$3,'Returns &amp; Bonus'!$A$5:$B$15,2,0)),(L39+V39)*(1+VLOOKUP(W$3,'Returns &amp; Bonus'!$A$5:$B$15,2,0)))</f>
        <v>23924.657856000002</v>
      </c>
      <c r="X39" s="57">
        <f>IF(X$3=2010,M39*(1+VLOOKUP(X$3,'Returns &amp; Bonus'!$A$5:$B$15,2,0)),(M39+W39)*(1+VLOOKUP(X$3,'Returns &amp; Bonus'!$A$5:$B$15,2,0)))</f>
        <v>29094.88469888</v>
      </c>
      <c r="Y39" s="57">
        <f>IF(Y$3=2010,N39*(1+VLOOKUP(Y$3,'Returns &amp; Bonus'!$A$5:$B$15,2,0)),(N39+X39)*(1+VLOOKUP(Y$3,'Returns &amp; Bonus'!$A$5:$B$15,2,0)))</f>
        <v>33115.940463936</v>
      </c>
      <c r="Z39" s="57">
        <f>IF(Z$3=2010,O39*(1+VLOOKUP(Z$3,'Returns &amp; Bonus'!$A$5:$B$15,2,0)),(O39+Y39)*(1+VLOOKUP(Z$3,'Returns &amp; Bonus'!$A$5:$B$15,2,0)))</f>
        <v>43934.332724247673</v>
      </c>
      <c r="AA39" s="57">
        <f>IF(AA$3=2010,P39*(1+VLOOKUP(AA$3,'Returns &amp; Bonus'!$A$5:$B$15,2,0)),(P39+Z39)*(1+VLOOKUP(AA$3,'Returns &amp; Bonus'!$A$5:$B$15,2,0)))</f>
        <v>55165.14932391492</v>
      </c>
      <c r="AB39" s="81">
        <f>IF(AB$3=2010,Q39*(1+VLOOKUP(AB$3,'Returns &amp; Bonus'!$A$5:$B$15,2,0)),(Q39+AA39)*(1+VLOOKUP(AB$3,'Returns &amp; Bonus'!$A$5:$B$15,2,0)))</f>
        <v>59710.56633743662</v>
      </c>
      <c r="AC39" s="85"/>
      <c r="AD39" s="58">
        <f t="shared" si="15"/>
        <v>39683.041337436618</v>
      </c>
      <c r="AE39" s="58">
        <f t="shared" si="16"/>
        <v>0</v>
      </c>
      <c r="AF39" s="58">
        <f t="shared" si="9"/>
        <v>20027.524999999998</v>
      </c>
      <c r="AG39" s="58">
        <f t="shared" si="10"/>
        <v>39683.041337436618</v>
      </c>
      <c r="AH39" s="55">
        <f>IF(VLOOKUP(A39,'Data &amp; Formulae'!$A$11:$F$91,6,0)="Y",BonusFundProp*AF39*VLOOKUP(YEAR(B39),'Returns &amp; Bonus'!$G$4:$I$15,3,0),0)</f>
        <v>0</v>
      </c>
      <c r="AI39" s="55">
        <f>IF(VLOOKUP(A39,'Data &amp; Formulae'!$A$11:$F$91,6,0)="Y",ClaimFundProp*AF39+AH39,0)</f>
        <v>0</v>
      </c>
      <c r="AJ39" s="55">
        <f t="shared" si="17"/>
        <v>0</v>
      </c>
      <c r="AK39" s="55">
        <f t="shared" si="11"/>
        <v>0</v>
      </c>
      <c r="AL39" s="60"/>
      <c r="AM39" s="71">
        <f t="shared" si="18"/>
        <v>0</v>
      </c>
      <c r="AN39" s="55">
        <f t="shared" si="12"/>
        <v>0</v>
      </c>
      <c r="AO39" s="60"/>
      <c r="AP39" s="71">
        <f>IF(VLOOKUP(A39,'Data &amp; Formulae'!$A$11:$F$91,6,0)="Y",Scen2Bonus*AF39,0)</f>
        <v>0</v>
      </c>
      <c r="AQ39" s="55">
        <f>IF(VLOOKUP(A39,'Data &amp; Formulae'!$A$11:$F$91,6,0)="Y",ClaimFundProp*AF39+AP39,0)</f>
        <v>0</v>
      </c>
      <c r="AR39" s="55">
        <f t="shared" si="19"/>
        <v>0</v>
      </c>
      <c r="AS39" s="55">
        <f t="shared" si="13"/>
        <v>0</v>
      </c>
      <c r="AT39" s="60"/>
      <c r="AU39" s="71">
        <f>IF(VLOOKUP(A39,'Data &amp; Formulae'!$A$11:$F$91,6,0)="Y",SurrPay*AF39,0)</f>
        <v>0</v>
      </c>
      <c r="AV39" s="73"/>
      <c r="AX39" s="4" t="b">
        <f t="shared" si="20"/>
        <v>1</v>
      </c>
      <c r="AY39" s="89" t="e">
        <f>(S39/(R39+H39)-1)-VLOOKUP(AY$3,'Returns &amp; Bonus'!$A$5:$B$15,2,0)</f>
        <v>#DIV/0!</v>
      </c>
      <c r="AZ39" s="89" t="e">
        <f>(T39/(S39+I39)-1)-VLOOKUP(AZ$3,'Returns &amp; Bonus'!$A$5:$B$15,2,0)</f>
        <v>#DIV/0!</v>
      </c>
      <c r="BA39" s="89">
        <f>(U39/(T39+J39)-1)-VLOOKUP(BA$3,'Returns &amp; Bonus'!$A$5:$B$15,2,0)</f>
        <v>0</v>
      </c>
      <c r="BB39" s="89">
        <f>(V39/(U39+K39)-1)-VLOOKUP(BB$3,'Returns &amp; Bonus'!$A$5:$B$15,2,0)</f>
        <v>0</v>
      </c>
      <c r="BC39" s="89">
        <f>(W39/(V39+L39)-1)-VLOOKUP(BC$3,'Returns &amp; Bonus'!$A$5:$B$15,2,0)</f>
        <v>0</v>
      </c>
      <c r="BD39" s="89">
        <f>(X39/(W39+M39)-1)-VLOOKUP(BD$3,'Returns &amp; Bonus'!$A$5:$B$15,2,0)</f>
        <v>0</v>
      </c>
      <c r="BE39" s="89">
        <f>(Y39/(X39+N39)-1)-VLOOKUP(BE$3,'Returns &amp; Bonus'!$A$5:$B$15,2,0)</f>
        <v>0</v>
      </c>
      <c r="BF39" s="89">
        <f>(Z39/(Y39+O39)-1)-VLOOKUP(BF$3,'Returns &amp; Bonus'!$A$5:$B$15,2,0)</f>
        <v>0</v>
      </c>
      <c r="BG39" s="89">
        <f>(AA39/(Z39+P39)-1)-VLOOKUP(BG$3,'Returns &amp; Bonus'!$A$5:$B$15,2,0)</f>
        <v>0</v>
      </c>
      <c r="BH39" s="89">
        <f>(AB39/(AA39+Q39)-1)-VLOOKUP(BH$3,'Returns &amp; Bonus'!$A$5:$B$15,2,0)</f>
        <v>0</v>
      </c>
    </row>
    <row r="40" spans="1:60" x14ac:dyDescent="0.25">
      <c r="A40" s="77">
        <f>'Amended Data'!A40</f>
        <v>37</v>
      </c>
      <c r="B40" s="75">
        <f>'Amended Data'!K40</f>
        <v>41275</v>
      </c>
      <c r="C40" s="55">
        <f>'Amended Data'!J40</f>
        <v>4178</v>
      </c>
      <c r="D40" s="56">
        <f>'Amended Data'!L40</f>
        <v>28</v>
      </c>
      <c r="E40" s="57">
        <f>'Amended Data'!M40</f>
        <v>13778.8</v>
      </c>
      <c r="F40" s="57" t="str">
        <f>'Data &amp; Formulae'!H48</f>
        <v>Y</v>
      </c>
      <c r="G40" s="57">
        <f t="shared" si="21"/>
        <v>0</v>
      </c>
      <c r="H40" s="57">
        <f t="shared" si="21"/>
        <v>0</v>
      </c>
      <c r="I40" s="57">
        <f t="shared" si="21"/>
        <v>0</v>
      </c>
      <c r="J40" s="57">
        <f t="shared" si="21"/>
        <v>4178</v>
      </c>
      <c r="K40" s="57">
        <f t="shared" si="21"/>
        <v>4178</v>
      </c>
      <c r="L40" s="57">
        <f t="shared" si="21"/>
        <v>4178</v>
      </c>
      <c r="M40" s="57">
        <f t="shared" si="21"/>
        <v>4178</v>
      </c>
      <c r="N40" s="57">
        <f t="shared" si="21"/>
        <v>4178</v>
      </c>
      <c r="O40" s="57">
        <f t="shared" si="21"/>
        <v>4178</v>
      </c>
      <c r="P40" s="57">
        <f t="shared" si="21"/>
        <v>4178</v>
      </c>
      <c r="Q40" s="57">
        <f t="shared" si="21"/>
        <v>4178</v>
      </c>
      <c r="R40" s="57">
        <f>IF(R$3=2010,G40*(1+VLOOKUP(R$3,'Returns &amp; Bonus'!$A$5:$B$15,2,0)),(G40+Q40)*(1+VLOOKUP(R$3,'Returns &amp; Bonus'!$A$5:$B$15,2,0)))</f>
        <v>0</v>
      </c>
      <c r="S40" s="57">
        <f>IF(S$3=2010,H40*(1+VLOOKUP(S$3,'Returns &amp; Bonus'!$A$5:$B$15,2,0)),(H40+R40)*(1+VLOOKUP(S$3,'Returns &amp; Bonus'!$A$5:$B$15,2,0)))</f>
        <v>0</v>
      </c>
      <c r="T40" s="57">
        <f>IF(T$3=2010,I40*(1+VLOOKUP(T$3,'Returns &amp; Bonus'!$A$5:$B$15,2,0)),(I40+S40)*(1+VLOOKUP(T$3,'Returns &amp; Bonus'!$A$5:$B$15,2,0)))</f>
        <v>0</v>
      </c>
      <c r="U40" s="57">
        <f>IF(U$3=2010,J40*(1+VLOOKUP(U$3,'Returns &amp; Bonus'!$A$5:$B$15,2,0)),(J40+T40)*(1+VLOOKUP(U$3,'Returns &amp; Bonus'!$A$5:$B$15,2,0)))</f>
        <v>5180.72</v>
      </c>
      <c r="V40" s="57">
        <f>IF(V$3=2010,K40*(1+VLOOKUP(V$3,'Returns &amp; Bonus'!$A$5:$B$15,2,0)),(K40+U40)*(1+VLOOKUP(V$3,'Returns &amp; Bonus'!$A$5:$B$15,2,0)))</f>
        <v>9265.1328000000012</v>
      </c>
      <c r="W40" s="57">
        <f>IF(W$3=2010,L40*(1+VLOOKUP(W$3,'Returns &amp; Bonus'!$A$5:$B$15,2,0)),(L40+V40)*(1+VLOOKUP(W$3,'Returns &amp; Bonus'!$A$5:$B$15,2,0)))</f>
        <v>17341.641312000003</v>
      </c>
      <c r="X40" s="57">
        <f>IF(X$3=2010,M40*(1+VLOOKUP(X$3,'Returns &amp; Bonus'!$A$5:$B$15,2,0)),(M40+W40)*(1+VLOOKUP(X$3,'Returns &amp; Bonus'!$A$5:$B$15,2,0)))</f>
        <v>21089.248485760003</v>
      </c>
      <c r="Y40" s="57">
        <f>IF(Y$3=2010,N40*(1+VLOOKUP(Y$3,'Returns &amp; Bonus'!$A$5:$B$15,2,0)),(N40+X40)*(1+VLOOKUP(Y$3,'Returns &amp; Bonus'!$A$5:$B$15,2,0)))</f>
        <v>24003.886061472003</v>
      </c>
      <c r="Z40" s="57">
        <f>IF(Z$3=2010,O40*(1+VLOOKUP(Z$3,'Returns &amp; Bonus'!$A$5:$B$15,2,0)),(O40+Y40)*(1+VLOOKUP(Z$3,'Returns &amp; Bonus'!$A$5:$B$15,2,0)))</f>
        <v>31845.531249463362</v>
      </c>
      <c r="AA40" s="57">
        <f>IF(AA$3=2010,P40*(1+VLOOKUP(AA$3,'Returns &amp; Bonus'!$A$5:$B$15,2,0)),(P40+Z40)*(1+VLOOKUP(AA$3,'Returns &amp; Bonus'!$A$5:$B$15,2,0)))</f>
        <v>39986.119686904334</v>
      </c>
      <c r="AB40" s="81">
        <f>IF(AB$3=2010,Q40*(1+VLOOKUP(AB$3,'Returns &amp; Bonus'!$A$5:$B$15,2,0)),(Q40+AA40)*(1+VLOOKUP(AB$3,'Returns &amp; Bonus'!$A$5:$B$15,2,0)))</f>
        <v>43280.837293166245</v>
      </c>
      <c r="AC40" s="85"/>
      <c r="AD40" s="58">
        <f t="shared" si="15"/>
        <v>29502.037293166246</v>
      </c>
      <c r="AE40" s="58">
        <f t="shared" si="16"/>
        <v>0</v>
      </c>
      <c r="AF40" s="58">
        <f t="shared" si="9"/>
        <v>13778.8</v>
      </c>
      <c r="AG40" s="58">
        <f t="shared" si="10"/>
        <v>29502.037293166246</v>
      </c>
      <c r="AH40" s="55">
        <f>IF(VLOOKUP(A40,'Data &amp; Formulae'!$A$11:$F$91,6,0)="Y",BonusFundProp*AF40*VLOOKUP(YEAR(B40),'Returns &amp; Bonus'!$G$4:$I$15,3,0),0)</f>
        <v>3031.3360000000007</v>
      </c>
      <c r="AI40" s="55">
        <f>IF(VLOOKUP(A40,'Data &amp; Formulae'!$A$11:$F$91,6,0)="Y",ClaimFundProp*AF40+AH40,0)</f>
        <v>14054.376000000002</v>
      </c>
      <c r="AJ40" s="55">
        <f t="shared" si="17"/>
        <v>14054.376000000002</v>
      </c>
      <c r="AK40" s="55">
        <f t="shared" si="11"/>
        <v>-275.57600000000275</v>
      </c>
      <c r="AL40" s="60"/>
      <c r="AM40" s="71">
        <f t="shared" si="18"/>
        <v>14054.376000000002</v>
      </c>
      <c r="AN40" s="55">
        <f t="shared" si="12"/>
        <v>-275.57600000000275</v>
      </c>
      <c r="AO40" s="60"/>
      <c r="AP40" s="71">
        <f>IF(VLOOKUP(A40,'Data &amp; Formulae'!$A$11:$F$91,6,0)="Y",Scen2Bonus*AF40,0)</f>
        <v>2893.5479999999998</v>
      </c>
      <c r="AQ40" s="55">
        <f>IF(VLOOKUP(A40,'Data &amp; Formulae'!$A$11:$F$91,6,0)="Y",ClaimFundProp*AF40+AP40,0)</f>
        <v>13916.588</v>
      </c>
      <c r="AR40" s="55">
        <f t="shared" si="19"/>
        <v>13916.588</v>
      </c>
      <c r="AS40" s="55">
        <f t="shared" si="13"/>
        <v>-137.78800000000047</v>
      </c>
      <c r="AT40" s="60"/>
      <c r="AU40" s="71">
        <f>IF(VLOOKUP(A40,'Data &amp; Formulae'!$A$11:$F$91,6,0)="Y",SurrPay*AF40,0)</f>
        <v>344.47</v>
      </c>
      <c r="AV40" s="73"/>
      <c r="AX40" s="4" t="b">
        <f t="shared" si="20"/>
        <v>1</v>
      </c>
      <c r="AY40" s="89" t="e">
        <f>(S40/(R40+H40)-1)-VLOOKUP(AY$3,'Returns &amp; Bonus'!$A$5:$B$15,2,0)</f>
        <v>#DIV/0!</v>
      </c>
      <c r="AZ40" s="89" t="e">
        <f>(T40/(S40+I40)-1)-VLOOKUP(AZ$3,'Returns &amp; Bonus'!$A$5:$B$15,2,0)</f>
        <v>#DIV/0!</v>
      </c>
      <c r="BA40" s="89">
        <f>(U40/(T40+J40)-1)-VLOOKUP(BA$3,'Returns &amp; Bonus'!$A$5:$B$15,2,0)</f>
        <v>0</v>
      </c>
      <c r="BB40" s="89">
        <f>(V40/(U40+K40)-1)-VLOOKUP(BB$3,'Returns &amp; Bonus'!$A$5:$B$15,2,0)</f>
        <v>0</v>
      </c>
      <c r="BC40" s="89">
        <f>(W40/(V40+L40)-1)-VLOOKUP(BC$3,'Returns &amp; Bonus'!$A$5:$B$15,2,0)</f>
        <v>0</v>
      </c>
      <c r="BD40" s="89">
        <f>(X40/(W40+M40)-1)-VLOOKUP(BD$3,'Returns &amp; Bonus'!$A$5:$B$15,2,0)</f>
        <v>0</v>
      </c>
      <c r="BE40" s="89">
        <f>(Y40/(X40+N40)-1)-VLOOKUP(BE$3,'Returns &amp; Bonus'!$A$5:$B$15,2,0)</f>
        <v>6.9388939039072284E-17</v>
      </c>
      <c r="BF40" s="89">
        <f>(Z40/(Y40+O40)-1)-VLOOKUP(BF$3,'Returns &amp; Bonus'!$A$5:$B$15,2,0)</f>
        <v>0</v>
      </c>
      <c r="BG40" s="89">
        <f>(AA40/(Z40+P40)-1)-VLOOKUP(BG$3,'Returns &amp; Bonus'!$A$5:$B$15,2,0)</f>
        <v>0</v>
      </c>
      <c r="BH40" s="89">
        <f>(AB40/(AA40+Q40)-1)-VLOOKUP(BH$3,'Returns &amp; Bonus'!$A$5:$B$15,2,0)</f>
        <v>0</v>
      </c>
    </row>
    <row r="41" spans="1:60" x14ac:dyDescent="0.25">
      <c r="A41" s="77">
        <f>'Amended Data'!A41</f>
        <v>38</v>
      </c>
      <c r="B41" s="75">
        <f>'Amended Data'!K41</f>
        <v>41640</v>
      </c>
      <c r="C41" s="55">
        <f>'Amended Data'!J41</f>
        <v>6594</v>
      </c>
      <c r="D41" s="56">
        <f>'Amended Data'!L41</f>
        <v>21</v>
      </c>
      <c r="E41" s="57">
        <f>'Amended Data'!M41</f>
        <v>16711.817499999997</v>
      </c>
      <c r="F41" s="57" t="str">
        <f>'Data &amp; Formulae'!H49</f>
        <v>Y</v>
      </c>
      <c r="G41" s="57">
        <f t="shared" si="21"/>
        <v>0</v>
      </c>
      <c r="H41" s="57">
        <f t="shared" si="21"/>
        <v>0</v>
      </c>
      <c r="I41" s="57">
        <f t="shared" si="21"/>
        <v>0</v>
      </c>
      <c r="J41" s="57">
        <f t="shared" si="21"/>
        <v>0</v>
      </c>
      <c r="K41" s="57">
        <f t="shared" si="21"/>
        <v>6594</v>
      </c>
      <c r="L41" s="57">
        <f t="shared" si="21"/>
        <v>6594</v>
      </c>
      <c r="M41" s="57">
        <f t="shared" si="21"/>
        <v>6594</v>
      </c>
      <c r="N41" s="57">
        <f t="shared" si="21"/>
        <v>6594</v>
      </c>
      <c r="O41" s="57">
        <f t="shared" si="21"/>
        <v>6594</v>
      </c>
      <c r="P41" s="57">
        <f t="shared" si="21"/>
        <v>6594</v>
      </c>
      <c r="Q41" s="57">
        <f t="shared" si="21"/>
        <v>6594</v>
      </c>
      <c r="R41" s="57">
        <f>IF(R$3=2010,G41*(1+VLOOKUP(R$3,'Returns &amp; Bonus'!$A$5:$B$15,2,0)),(G41+Q41)*(1+VLOOKUP(R$3,'Returns &amp; Bonus'!$A$5:$B$15,2,0)))</f>
        <v>0</v>
      </c>
      <c r="S41" s="57">
        <f>IF(S$3=2010,H41*(1+VLOOKUP(S$3,'Returns &amp; Bonus'!$A$5:$B$15,2,0)),(H41+R41)*(1+VLOOKUP(S$3,'Returns &amp; Bonus'!$A$5:$B$15,2,0)))</f>
        <v>0</v>
      </c>
      <c r="T41" s="57">
        <f>IF(T$3=2010,I41*(1+VLOOKUP(T$3,'Returns &amp; Bonus'!$A$5:$B$15,2,0)),(I41+S41)*(1+VLOOKUP(T$3,'Returns &amp; Bonus'!$A$5:$B$15,2,0)))</f>
        <v>0</v>
      </c>
      <c r="U41" s="57">
        <f>IF(U$3=2010,J41*(1+VLOOKUP(U$3,'Returns &amp; Bonus'!$A$5:$B$15,2,0)),(J41+T41)*(1+VLOOKUP(U$3,'Returns &amp; Bonus'!$A$5:$B$15,2,0)))</f>
        <v>0</v>
      </c>
      <c r="V41" s="57">
        <f>IF(V$3=2010,K41*(1+VLOOKUP(V$3,'Returns &amp; Bonus'!$A$5:$B$15,2,0)),(K41+U41)*(1+VLOOKUP(V$3,'Returns &amp; Bonus'!$A$5:$B$15,2,0)))</f>
        <v>6528.0599999999995</v>
      </c>
      <c r="W41" s="57">
        <f>IF(W$3=2010,L41*(1+VLOOKUP(W$3,'Returns &amp; Bonus'!$A$5:$B$15,2,0)),(L41+V41)*(1+VLOOKUP(W$3,'Returns &amp; Bonus'!$A$5:$B$15,2,0)))</f>
        <v>16927.457399999999</v>
      </c>
      <c r="X41" s="57">
        <f>IF(X$3=2010,M41*(1+VLOOKUP(X$3,'Returns &amp; Bonus'!$A$5:$B$15,2,0)),(M41+W41)*(1+VLOOKUP(X$3,'Returns &amp; Bonus'!$A$5:$B$15,2,0)))</f>
        <v>23051.028252</v>
      </c>
      <c r="Y41" s="57">
        <f>IF(Y$3=2010,N41*(1+VLOOKUP(Y$3,'Returns &amp; Bonus'!$A$5:$B$15,2,0)),(N41+X41)*(1+VLOOKUP(Y$3,'Returns &amp; Bonus'!$A$5:$B$15,2,0)))</f>
        <v>28162.776839399998</v>
      </c>
      <c r="Z41" s="57">
        <f>IF(Z$3=2010,O41*(1+VLOOKUP(Z$3,'Returns &amp; Bonus'!$A$5:$B$15,2,0)),(O41+Y41)*(1+VLOOKUP(Z$3,'Returns &amp; Bonus'!$A$5:$B$15,2,0)))</f>
        <v>39275.157828521995</v>
      </c>
      <c r="AA41" s="57">
        <f>IF(AA$3=2010,P41*(1+VLOOKUP(AA$3,'Returns &amp; Bonus'!$A$5:$B$15,2,0)),(P41+Z41)*(1+VLOOKUP(AA$3,'Returns &amp; Bonus'!$A$5:$B$15,2,0)))</f>
        <v>50914.765189659418</v>
      </c>
      <c r="AB41" s="81">
        <f>IF(AB$3=2010,Q41*(1+VLOOKUP(AB$3,'Returns &amp; Bonus'!$A$5:$B$15,2,0)),(Q41+AA41)*(1+VLOOKUP(AB$3,'Returns &amp; Bonus'!$A$5:$B$15,2,0)))</f>
        <v>56358.589885866226</v>
      </c>
      <c r="AC41" s="85"/>
      <c r="AD41" s="58">
        <f t="shared" si="15"/>
        <v>39646.772385866228</v>
      </c>
      <c r="AE41" s="58">
        <f t="shared" si="16"/>
        <v>0</v>
      </c>
      <c r="AF41" s="58">
        <f t="shared" si="9"/>
        <v>16711.817499999997</v>
      </c>
      <c r="AG41" s="58">
        <f t="shared" si="10"/>
        <v>39646.772385866228</v>
      </c>
      <c r="AH41" s="55">
        <f>IF(VLOOKUP(A41,'Data &amp; Formulae'!$A$11:$F$91,6,0)="Y",BonusFundProp*AF41*VLOOKUP(YEAR(B41),'Returns &amp; Bonus'!$G$4:$I$15,3,0),0)</f>
        <v>3593.0407624999993</v>
      </c>
      <c r="AI41" s="55">
        <f>IF(VLOOKUP(A41,'Data &amp; Formulae'!$A$11:$F$91,6,0)="Y",ClaimFundProp*AF41+AH41,0)</f>
        <v>16962.494762499999</v>
      </c>
      <c r="AJ41" s="55">
        <f t="shared" si="17"/>
        <v>16962.494762499999</v>
      </c>
      <c r="AK41" s="55">
        <f t="shared" si="11"/>
        <v>-250.67726250000123</v>
      </c>
      <c r="AL41" s="60"/>
      <c r="AM41" s="71">
        <f t="shared" si="18"/>
        <v>16962.494762499999</v>
      </c>
      <c r="AN41" s="55">
        <f t="shared" si="12"/>
        <v>-250.67726250000123</v>
      </c>
      <c r="AO41" s="60"/>
      <c r="AP41" s="71">
        <f>IF(VLOOKUP(A41,'Data &amp; Formulae'!$A$11:$F$91,6,0)="Y",Scen2Bonus*AF41,0)</f>
        <v>3509.4816749999995</v>
      </c>
      <c r="AQ41" s="55">
        <f>IF(VLOOKUP(A41,'Data &amp; Formulae'!$A$11:$F$91,6,0)="Y",ClaimFundProp*AF41+AP41,0)</f>
        <v>16878.935674999997</v>
      </c>
      <c r="AR41" s="55">
        <f t="shared" si="19"/>
        <v>16878.935674999997</v>
      </c>
      <c r="AS41" s="55">
        <f t="shared" si="13"/>
        <v>-167.11817499999961</v>
      </c>
      <c r="AT41" s="60"/>
      <c r="AU41" s="71">
        <f>IF(VLOOKUP(A41,'Data &amp; Formulae'!$A$11:$F$91,6,0)="Y",SurrPay*AF41,0)</f>
        <v>417.79543749999993</v>
      </c>
      <c r="AV41" s="73"/>
      <c r="AX41" s="4" t="b">
        <f t="shared" si="20"/>
        <v>1</v>
      </c>
      <c r="AY41" s="89" t="e">
        <f>(S41/(R41+H41)-1)-VLOOKUP(AY$3,'Returns &amp; Bonus'!$A$5:$B$15,2,0)</f>
        <v>#DIV/0!</v>
      </c>
      <c r="AZ41" s="89" t="e">
        <f>(T41/(S41+I41)-1)-VLOOKUP(AZ$3,'Returns &amp; Bonus'!$A$5:$B$15,2,0)</f>
        <v>#DIV/0!</v>
      </c>
      <c r="BA41" s="89" t="e">
        <f>(U41/(T41+J41)-1)-VLOOKUP(BA$3,'Returns &amp; Bonus'!$A$5:$B$15,2,0)</f>
        <v>#DIV/0!</v>
      </c>
      <c r="BB41" s="89">
        <f>(V41/(U41+K41)-1)-VLOOKUP(BB$3,'Returns &amp; Bonus'!$A$5:$B$15,2,0)</f>
        <v>-1.1969591984239969E-16</v>
      </c>
      <c r="BC41" s="89">
        <f>(W41/(V41+L41)-1)-VLOOKUP(BC$3,'Returns &amp; Bonus'!$A$5:$B$15,2,0)</f>
        <v>0</v>
      </c>
      <c r="BD41" s="89">
        <f>(X41/(W41+M41)-1)-VLOOKUP(BD$3,'Returns &amp; Bonus'!$A$5:$B$15,2,0)</f>
        <v>0</v>
      </c>
      <c r="BE41" s="89">
        <f>(Y41/(X41+N41)-1)-VLOOKUP(BE$3,'Returns &amp; Bonus'!$A$5:$B$15,2,0)</f>
        <v>0</v>
      </c>
      <c r="BF41" s="89">
        <f>(Z41/(Y41+O41)-1)-VLOOKUP(BF$3,'Returns &amp; Bonus'!$A$5:$B$15,2,0)</f>
        <v>0</v>
      </c>
      <c r="BG41" s="89">
        <f>(AA41/(Z41+P41)-1)-VLOOKUP(BG$3,'Returns &amp; Bonus'!$A$5:$B$15,2,0)</f>
        <v>0</v>
      </c>
      <c r="BH41" s="89">
        <f>(AB41/(AA41+Q41)-1)-VLOOKUP(BH$3,'Returns &amp; Bonus'!$A$5:$B$15,2,0)</f>
        <v>0</v>
      </c>
    </row>
    <row r="42" spans="1:60" x14ac:dyDescent="0.25">
      <c r="A42" s="77">
        <f>'Amended Data'!A42</f>
        <v>39</v>
      </c>
      <c r="B42" s="75">
        <f>'Amended Data'!K42</f>
        <v>41640</v>
      </c>
      <c r="C42" s="55">
        <f>'Amended Data'!J42</f>
        <v>8573</v>
      </c>
      <c r="D42" s="56">
        <f>'Amended Data'!L42</f>
        <v>15</v>
      </c>
      <c r="E42" s="57">
        <f>'Amended Data'!M42</f>
        <v>4932.3399999999992</v>
      </c>
      <c r="F42" s="57" t="str">
        <f>'Data &amp; Formulae'!H50</f>
        <v>Y</v>
      </c>
      <c r="G42" s="57">
        <f t="shared" si="21"/>
        <v>0</v>
      </c>
      <c r="H42" s="57">
        <f t="shared" si="21"/>
        <v>0</v>
      </c>
      <c r="I42" s="57">
        <f t="shared" si="21"/>
        <v>0</v>
      </c>
      <c r="J42" s="57">
        <f t="shared" si="21"/>
        <v>0</v>
      </c>
      <c r="K42" s="57">
        <f t="shared" si="21"/>
        <v>8573</v>
      </c>
      <c r="L42" s="57">
        <f t="shared" si="21"/>
        <v>8573</v>
      </c>
      <c r="M42" s="57">
        <f t="shared" si="21"/>
        <v>8573</v>
      </c>
      <c r="N42" s="57">
        <f t="shared" si="21"/>
        <v>8573</v>
      </c>
      <c r="O42" s="57">
        <f t="shared" si="21"/>
        <v>8573</v>
      </c>
      <c r="P42" s="57">
        <f t="shared" si="21"/>
        <v>8573</v>
      </c>
      <c r="Q42" s="57">
        <f t="shared" si="21"/>
        <v>8573</v>
      </c>
      <c r="R42" s="57">
        <f>IF(R$3=2010,G42*(1+VLOOKUP(R$3,'Returns &amp; Bonus'!$A$5:$B$15,2,0)),(G42+Q42)*(1+VLOOKUP(R$3,'Returns &amp; Bonus'!$A$5:$B$15,2,0)))</f>
        <v>0</v>
      </c>
      <c r="S42" s="57">
        <f>IF(S$3=2010,H42*(1+VLOOKUP(S$3,'Returns &amp; Bonus'!$A$5:$B$15,2,0)),(H42+R42)*(1+VLOOKUP(S$3,'Returns &amp; Bonus'!$A$5:$B$15,2,0)))</f>
        <v>0</v>
      </c>
      <c r="T42" s="57">
        <f>IF(T$3=2010,I42*(1+VLOOKUP(T$3,'Returns &amp; Bonus'!$A$5:$B$15,2,0)),(I42+S42)*(1+VLOOKUP(T$3,'Returns &amp; Bonus'!$A$5:$B$15,2,0)))</f>
        <v>0</v>
      </c>
      <c r="U42" s="57">
        <f>IF(U$3=2010,J42*(1+VLOOKUP(U$3,'Returns &amp; Bonus'!$A$5:$B$15,2,0)),(J42+T42)*(1+VLOOKUP(U$3,'Returns &amp; Bonus'!$A$5:$B$15,2,0)))</f>
        <v>0</v>
      </c>
      <c r="V42" s="57">
        <f>IF(V$3=2010,K42*(1+VLOOKUP(V$3,'Returns &amp; Bonus'!$A$5:$B$15,2,0)),(K42+U42)*(1+VLOOKUP(V$3,'Returns &amp; Bonus'!$A$5:$B$15,2,0)))</f>
        <v>8487.27</v>
      </c>
      <c r="W42" s="57">
        <f>IF(W$3=2010,L42*(1+VLOOKUP(W$3,'Returns &amp; Bonus'!$A$5:$B$15,2,0)),(L42+V42)*(1+VLOOKUP(W$3,'Returns &amp; Bonus'!$A$5:$B$15,2,0)))</f>
        <v>22007.748300000003</v>
      </c>
      <c r="X42" s="57">
        <f>IF(X$3=2010,M42*(1+VLOOKUP(X$3,'Returns &amp; Bonus'!$A$5:$B$15,2,0)),(M42+W42)*(1+VLOOKUP(X$3,'Returns &amp; Bonus'!$A$5:$B$15,2,0)))</f>
        <v>29969.133334000002</v>
      </c>
      <c r="Y42" s="57">
        <f>IF(Y$3=2010,N42*(1+VLOOKUP(Y$3,'Returns &amp; Bonus'!$A$5:$B$15,2,0)),(N42+X42)*(1+VLOOKUP(Y$3,'Returns &amp; Bonus'!$A$5:$B$15,2,0)))</f>
        <v>36615.026667299993</v>
      </c>
      <c r="Z42" s="57">
        <f>IF(Z$3=2010,O42*(1+VLOOKUP(Z$3,'Returns &amp; Bonus'!$A$5:$B$15,2,0)),(O42+Y42)*(1+VLOOKUP(Z$3,'Returns &amp; Bonus'!$A$5:$B$15,2,0)))</f>
        <v>51062.470134048985</v>
      </c>
      <c r="AA42" s="57">
        <f>IF(AA$3=2010,P42*(1+VLOOKUP(AA$3,'Returns &amp; Bonus'!$A$5:$B$15,2,0)),(P42+Z42)*(1+VLOOKUP(AA$3,'Returns &amp; Bonus'!$A$5:$B$15,2,0)))</f>
        <v>66195.371848794384</v>
      </c>
      <c r="AB42" s="81">
        <f>IF(AB$3=2010,Q42*(1+VLOOKUP(AB$3,'Returns &amp; Bonus'!$A$5:$B$15,2,0)),(Q42+AA42)*(1+VLOOKUP(AB$3,'Returns &amp; Bonus'!$A$5:$B$15,2,0)))</f>
        <v>73273.004411818489</v>
      </c>
      <c r="AC42" s="85"/>
      <c r="AD42" s="58">
        <f t="shared" si="15"/>
        <v>68340.664411818492</v>
      </c>
      <c r="AE42" s="58">
        <f t="shared" si="16"/>
        <v>0</v>
      </c>
      <c r="AF42" s="58">
        <f t="shared" si="9"/>
        <v>4932.3399999999992</v>
      </c>
      <c r="AG42" s="58">
        <f t="shared" si="10"/>
        <v>68340.664411818492</v>
      </c>
      <c r="AH42" s="55">
        <f>IF(VLOOKUP(A42,'Data &amp; Formulae'!$A$11:$F$91,6,0)="Y",BonusFundProp*AF42*VLOOKUP(YEAR(B42),'Returns &amp; Bonus'!$G$4:$I$15,3,0),0)</f>
        <v>1060.4530999999997</v>
      </c>
      <c r="AI42" s="55">
        <f>IF(VLOOKUP(A42,'Data &amp; Formulae'!$A$11:$F$91,6,0)="Y",ClaimFundProp*AF42+AH42,0)</f>
        <v>5006.3250999999991</v>
      </c>
      <c r="AJ42" s="55">
        <f t="shared" si="17"/>
        <v>5006.3250999999991</v>
      </c>
      <c r="AK42" s="55">
        <f t="shared" si="11"/>
        <v>-73.985099999999875</v>
      </c>
      <c r="AL42" s="60"/>
      <c r="AM42" s="71">
        <f t="shared" si="18"/>
        <v>5006.3250999999991</v>
      </c>
      <c r="AN42" s="55">
        <f t="shared" si="12"/>
        <v>-73.985099999999875</v>
      </c>
      <c r="AO42" s="60"/>
      <c r="AP42" s="71">
        <f>IF(VLOOKUP(A42,'Data &amp; Formulae'!$A$11:$F$91,6,0)="Y",Scen2Bonus*AF42,0)</f>
        <v>1035.7913999999998</v>
      </c>
      <c r="AQ42" s="55">
        <f>IF(VLOOKUP(A42,'Data &amp; Formulae'!$A$11:$F$91,6,0)="Y",ClaimFundProp*AF42+AP42,0)</f>
        <v>4981.6633999999995</v>
      </c>
      <c r="AR42" s="55">
        <f t="shared" si="19"/>
        <v>4981.6633999999995</v>
      </c>
      <c r="AS42" s="55">
        <f t="shared" si="13"/>
        <v>-49.32340000000022</v>
      </c>
      <c r="AT42" s="60"/>
      <c r="AU42" s="71">
        <f>IF(VLOOKUP(A42,'Data &amp; Formulae'!$A$11:$F$91,6,0)="Y",SurrPay*AF42,0)</f>
        <v>123.30849999999998</v>
      </c>
      <c r="AV42" s="73"/>
      <c r="AX42" s="4" t="b">
        <f t="shared" si="20"/>
        <v>1</v>
      </c>
      <c r="AY42" s="89" t="e">
        <f>(S42/(R42+H42)-1)-VLOOKUP(AY$3,'Returns &amp; Bonus'!$A$5:$B$15,2,0)</f>
        <v>#DIV/0!</v>
      </c>
      <c r="AZ42" s="89" t="e">
        <f>(T42/(S42+I42)-1)-VLOOKUP(AZ$3,'Returns &amp; Bonus'!$A$5:$B$15,2,0)</f>
        <v>#DIV/0!</v>
      </c>
      <c r="BA42" s="89" t="e">
        <f>(U42/(T42+J42)-1)-VLOOKUP(BA$3,'Returns &amp; Bonus'!$A$5:$B$15,2,0)</f>
        <v>#DIV/0!</v>
      </c>
      <c r="BB42" s="89">
        <f>(V42/(U42+K42)-1)-VLOOKUP(BB$3,'Returns &amp; Bonus'!$A$5:$B$15,2,0)</f>
        <v>1.0234868508263162E-16</v>
      </c>
      <c r="BC42" s="89">
        <f>(W42/(V42+L42)-1)-VLOOKUP(BC$3,'Returns &amp; Bonus'!$A$5:$B$15,2,0)</f>
        <v>0</v>
      </c>
      <c r="BD42" s="89">
        <f>(X42/(W42+M42)-1)-VLOOKUP(BD$3,'Returns &amp; Bonus'!$A$5:$B$15,2,0)</f>
        <v>0</v>
      </c>
      <c r="BE42" s="89">
        <f>(Y42/(X42+N42)-1)-VLOOKUP(BE$3,'Returns &amp; Bonus'!$A$5:$B$15,2,0)</f>
        <v>-1.5265566588595902E-16</v>
      </c>
      <c r="BF42" s="89">
        <f>(Z42/(Y42+O42)-1)-VLOOKUP(BF$3,'Returns &amp; Bonus'!$A$5:$B$15,2,0)</f>
        <v>0</v>
      </c>
      <c r="BG42" s="89">
        <f>(AA42/(Z42+P42)-1)-VLOOKUP(BG$3,'Returns &amp; Bonus'!$A$5:$B$15,2,0)</f>
        <v>0</v>
      </c>
      <c r="BH42" s="89">
        <f>(AB42/(AA42+Q42)-1)-VLOOKUP(BH$3,'Returns &amp; Bonus'!$A$5:$B$15,2,0)</f>
        <v>-1.2836953722228372E-16</v>
      </c>
    </row>
    <row r="43" spans="1:60" x14ac:dyDescent="0.25">
      <c r="A43" s="77">
        <f>'Amended Data'!A43</f>
        <v>40</v>
      </c>
      <c r="B43" s="75">
        <f>'Amended Data'!K43</f>
        <v>41640</v>
      </c>
      <c r="C43" s="55">
        <f>'Amended Data'!J43</f>
        <v>2001</v>
      </c>
      <c r="D43" s="56">
        <f>'Amended Data'!L43</f>
        <v>13</v>
      </c>
      <c r="E43" s="57">
        <f>'Amended Data'!M43</f>
        <v>242.79499999999996</v>
      </c>
      <c r="F43" s="57" t="str">
        <f>'Data &amp; Formulae'!H51</f>
        <v>Y</v>
      </c>
      <c r="G43" s="57">
        <f t="shared" si="21"/>
        <v>0</v>
      </c>
      <c r="H43" s="57">
        <f t="shared" si="21"/>
        <v>0</v>
      </c>
      <c r="I43" s="57">
        <f t="shared" si="21"/>
        <v>0</v>
      </c>
      <c r="J43" s="57">
        <f t="shared" si="21"/>
        <v>0</v>
      </c>
      <c r="K43" s="57">
        <f t="shared" si="21"/>
        <v>2001</v>
      </c>
      <c r="L43" s="57">
        <f t="shared" si="21"/>
        <v>2001</v>
      </c>
      <c r="M43" s="57">
        <f t="shared" si="21"/>
        <v>2001</v>
      </c>
      <c r="N43" s="57">
        <f t="shared" si="21"/>
        <v>2001</v>
      </c>
      <c r="O43" s="57">
        <f t="shared" si="21"/>
        <v>2001</v>
      </c>
      <c r="P43" s="57">
        <f t="shared" si="21"/>
        <v>2001</v>
      </c>
      <c r="Q43" s="57">
        <f t="shared" si="21"/>
        <v>2001</v>
      </c>
      <c r="R43" s="57">
        <f>IF(R$3=2010,G43*(1+VLOOKUP(R$3,'Returns &amp; Bonus'!$A$5:$B$15,2,0)),(G43+Q43)*(1+VLOOKUP(R$3,'Returns &amp; Bonus'!$A$5:$B$15,2,0)))</f>
        <v>0</v>
      </c>
      <c r="S43" s="57">
        <f>IF(S$3=2010,H43*(1+VLOOKUP(S$3,'Returns &amp; Bonus'!$A$5:$B$15,2,0)),(H43+R43)*(1+VLOOKUP(S$3,'Returns &amp; Bonus'!$A$5:$B$15,2,0)))</f>
        <v>0</v>
      </c>
      <c r="T43" s="57">
        <f>IF(T$3=2010,I43*(1+VLOOKUP(T$3,'Returns &amp; Bonus'!$A$5:$B$15,2,0)),(I43+S43)*(1+VLOOKUP(T$3,'Returns &amp; Bonus'!$A$5:$B$15,2,0)))</f>
        <v>0</v>
      </c>
      <c r="U43" s="57">
        <f>IF(U$3=2010,J43*(1+VLOOKUP(U$3,'Returns &amp; Bonus'!$A$5:$B$15,2,0)),(J43+T43)*(1+VLOOKUP(U$3,'Returns &amp; Bonus'!$A$5:$B$15,2,0)))</f>
        <v>0</v>
      </c>
      <c r="V43" s="57">
        <f>IF(V$3=2010,K43*(1+VLOOKUP(V$3,'Returns &amp; Bonus'!$A$5:$B$15,2,0)),(K43+U43)*(1+VLOOKUP(V$3,'Returns &amp; Bonus'!$A$5:$B$15,2,0)))</f>
        <v>1980.99</v>
      </c>
      <c r="W43" s="57">
        <f>IF(W$3=2010,L43*(1+VLOOKUP(W$3,'Returns &amp; Bonus'!$A$5:$B$15,2,0)),(L43+V43)*(1+VLOOKUP(W$3,'Returns &amp; Bonus'!$A$5:$B$15,2,0)))</f>
        <v>5136.7671</v>
      </c>
      <c r="X43" s="57">
        <f>IF(X$3=2010,M43*(1+VLOOKUP(X$3,'Returns &amp; Bonus'!$A$5:$B$15,2,0)),(M43+W43)*(1+VLOOKUP(X$3,'Returns &amp; Bonus'!$A$5:$B$15,2,0)))</f>
        <v>6995.0117579999996</v>
      </c>
      <c r="Y43" s="57">
        <f>IF(Y$3=2010,N43*(1+VLOOKUP(Y$3,'Returns &amp; Bonus'!$A$5:$B$15,2,0)),(N43+X43)*(1+VLOOKUP(Y$3,'Returns &amp; Bonus'!$A$5:$B$15,2,0)))</f>
        <v>8546.2111700999994</v>
      </c>
      <c r="Z43" s="57">
        <f>IF(Z$3=2010,O43*(1+VLOOKUP(Z$3,'Returns &amp; Bonus'!$A$5:$B$15,2,0)),(O43+Y43)*(1+VLOOKUP(Z$3,'Returns &amp; Bonus'!$A$5:$B$15,2,0)))</f>
        <v>11918.348622212998</v>
      </c>
      <c r="AA43" s="57">
        <f>IF(AA$3=2010,P43*(1+VLOOKUP(AA$3,'Returns &amp; Bonus'!$A$5:$B$15,2,0)),(P43+Z43)*(1+VLOOKUP(AA$3,'Returns &amp; Bonus'!$A$5:$B$15,2,0)))</f>
        <v>15450.476970656429</v>
      </c>
      <c r="AB43" s="81">
        <f>IF(AB$3=2010,Q43*(1+VLOOKUP(AB$3,'Returns &amp; Bonus'!$A$5:$B$15,2,0)),(Q43+AA43)*(1+VLOOKUP(AB$3,'Returns &amp; Bonus'!$A$5:$B$15,2,0)))</f>
        <v>17102.447431243301</v>
      </c>
      <c r="AC43" s="85"/>
      <c r="AD43" s="58">
        <f t="shared" si="15"/>
        <v>16859.652431243303</v>
      </c>
      <c r="AE43" s="58">
        <f t="shared" si="16"/>
        <v>0</v>
      </c>
      <c r="AF43" s="58">
        <f t="shared" si="9"/>
        <v>242.79499999999996</v>
      </c>
      <c r="AG43" s="58">
        <f t="shared" si="10"/>
        <v>16859.652431243303</v>
      </c>
      <c r="AH43" s="55">
        <f>IF(VLOOKUP(A43,'Data &amp; Formulae'!$A$11:$F$91,6,0)="Y",BonusFundProp*AF43*VLOOKUP(YEAR(B43),'Returns &amp; Bonus'!$G$4:$I$15,3,0),0)</f>
        <v>52.200924999999998</v>
      </c>
      <c r="AI43" s="55">
        <f>IF(VLOOKUP(A43,'Data &amp; Formulae'!$A$11:$F$91,6,0)="Y",ClaimFundProp*AF43+AH43,0)</f>
        <v>246.43692499999997</v>
      </c>
      <c r="AJ43" s="55">
        <f t="shared" si="17"/>
        <v>246.43692499999997</v>
      </c>
      <c r="AK43" s="55">
        <f t="shared" si="11"/>
        <v>-3.6419250000000147</v>
      </c>
      <c r="AL43" s="60"/>
      <c r="AM43" s="71">
        <f t="shared" si="18"/>
        <v>246.43692499999997</v>
      </c>
      <c r="AN43" s="55">
        <f t="shared" si="12"/>
        <v>-3.6419250000000147</v>
      </c>
      <c r="AO43" s="60"/>
      <c r="AP43" s="71">
        <f>IF(VLOOKUP(A43,'Data &amp; Formulae'!$A$11:$F$91,6,0)="Y",Scen2Bonus*AF43,0)</f>
        <v>50.986949999999986</v>
      </c>
      <c r="AQ43" s="55">
        <f>IF(VLOOKUP(A43,'Data &amp; Formulae'!$A$11:$F$91,6,0)="Y",ClaimFundProp*AF43+AP43,0)</f>
        <v>245.22294999999997</v>
      </c>
      <c r="AR43" s="55">
        <f t="shared" si="19"/>
        <v>245.22294999999997</v>
      </c>
      <c r="AS43" s="55">
        <f t="shared" si="13"/>
        <v>-2.4279500000000098</v>
      </c>
      <c r="AT43" s="60"/>
      <c r="AU43" s="71">
        <f>IF(VLOOKUP(A43,'Data &amp; Formulae'!$A$11:$F$91,6,0)="Y",SurrPay*AF43,0)</f>
        <v>6.0698749999999997</v>
      </c>
      <c r="AV43" s="73"/>
      <c r="AX43" s="4" t="b">
        <f t="shared" si="20"/>
        <v>1</v>
      </c>
      <c r="AY43" s="89" t="e">
        <f>(S43/(R43+H43)-1)-VLOOKUP(AY$3,'Returns &amp; Bonus'!$A$5:$B$15,2,0)</f>
        <v>#DIV/0!</v>
      </c>
      <c r="AZ43" s="89" t="e">
        <f>(T43/(S43+I43)-1)-VLOOKUP(AZ$3,'Returns &amp; Bonus'!$A$5:$B$15,2,0)</f>
        <v>#DIV/0!</v>
      </c>
      <c r="BA43" s="89" t="e">
        <f>(U43/(T43+J43)-1)-VLOOKUP(BA$3,'Returns &amp; Bonus'!$A$5:$B$15,2,0)</f>
        <v>#DIV/0!</v>
      </c>
      <c r="BB43" s="89">
        <f>(V43/(U43+K43)-1)-VLOOKUP(BB$3,'Returns &amp; Bonus'!$A$5:$B$15,2,0)</f>
        <v>0</v>
      </c>
      <c r="BC43" s="89">
        <f>(W43/(V43+L43)-1)-VLOOKUP(BC$3,'Returns &amp; Bonus'!$A$5:$B$15,2,0)</f>
        <v>0</v>
      </c>
      <c r="BD43" s="89">
        <f>(X43/(W43+M43)-1)-VLOOKUP(BD$3,'Returns &amp; Bonus'!$A$5:$B$15,2,0)</f>
        <v>0</v>
      </c>
      <c r="BE43" s="89">
        <f>(Y43/(X43+N43)-1)-VLOOKUP(BE$3,'Returns &amp; Bonus'!$A$5:$B$15,2,0)</f>
        <v>-1.5265566588595902E-16</v>
      </c>
      <c r="BF43" s="89">
        <f>(Z43/(Y43+O43)-1)-VLOOKUP(BF$3,'Returns &amp; Bonus'!$A$5:$B$15,2,0)</f>
        <v>0</v>
      </c>
      <c r="BG43" s="89">
        <f>(AA43/(Z43+P43)-1)-VLOOKUP(BG$3,'Returns &amp; Bonus'!$A$5:$B$15,2,0)</f>
        <v>0</v>
      </c>
      <c r="BH43" s="89">
        <f>(AB43/(AA43+Q43)-1)-VLOOKUP(BH$3,'Returns &amp; Bonus'!$A$5:$B$15,2,0)</f>
        <v>0</v>
      </c>
    </row>
    <row r="44" spans="1:60" x14ac:dyDescent="0.25">
      <c r="A44" s="77">
        <f>'Amended Data'!A44</f>
        <v>41</v>
      </c>
      <c r="B44" s="75">
        <f>'Amended Data'!K44</f>
        <v>41640</v>
      </c>
      <c r="C44" s="55">
        <f>'Amended Data'!J44</f>
        <v>7658</v>
      </c>
      <c r="D44" s="56">
        <f>'Amended Data'!L44</f>
        <v>26</v>
      </c>
      <c r="E44" s="57">
        <f>'Amended Data'!M44</f>
        <v>24047.852499999997</v>
      </c>
      <c r="F44" s="57" t="str">
        <f>'Data &amp; Formulae'!H52</f>
        <v>Y</v>
      </c>
      <c r="G44" s="57">
        <f t="shared" si="21"/>
        <v>0</v>
      </c>
      <c r="H44" s="57">
        <f t="shared" si="21"/>
        <v>0</v>
      </c>
      <c r="I44" s="57">
        <f t="shared" si="21"/>
        <v>0</v>
      </c>
      <c r="J44" s="57">
        <f t="shared" si="21"/>
        <v>0</v>
      </c>
      <c r="K44" s="57">
        <f t="shared" si="21"/>
        <v>7658</v>
      </c>
      <c r="L44" s="57">
        <f t="shared" si="21"/>
        <v>7658</v>
      </c>
      <c r="M44" s="57">
        <f t="shared" si="21"/>
        <v>7658</v>
      </c>
      <c r="N44" s="57">
        <f t="shared" si="21"/>
        <v>7658</v>
      </c>
      <c r="O44" s="57">
        <f t="shared" si="21"/>
        <v>7658</v>
      </c>
      <c r="P44" s="57">
        <f t="shared" si="21"/>
        <v>7658</v>
      </c>
      <c r="Q44" s="57">
        <f t="shared" si="21"/>
        <v>7658</v>
      </c>
      <c r="R44" s="57">
        <f>IF(R$3=2010,G44*(1+VLOOKUP(R$3,'Returns &amp; Bonus'!$A$5:$B$15,2,0)),(G44+Q44)*(1+VLOOKUP(R$3,'Returns &amp; Bonus'!$A$5:$B$15,2,0)))</f>
        <v>0</v>
      </c>
      <c r="S44" s="57">
        <f>IF(S$3=2010,H44*(1+VLOOKUP(S$3,'Returns &amp; Bonus'!$A$5:$B$15,2,0)),(H44+R44)*(1+VLOOKUP(S$3,'Returns &amp; Bonus'!$A$5:$B$15,2,0)))</f>
        <v>0</v>
      </c>
      <c r="T44" s="57">
        <f>IF(T$3=2010,I44*(1+VLOOKUP(T$3,'Returns &amp; Bonus'!$A$5:$B$15,2,0)),(I44+S44)*(1+VLOOKUP(T$3,'Returns &amp; Bonus'!$A$5:$B$15,2,0)))</f>
        <v>0</v>
      </c>
      <c r="U44" s="57">
        <f>IF(U$3=2010,J44*(1+VLOOKUP(U$3,'Returns &amp; Bonus'!$A$5:$B$15,2,0)),(J44+T44)*(1+VLOOKUP(U$3,'Returns &amp; Bonus'!$A$5:$B$15,2,0)))</f>
        <v>0</v>
      </c>
      <c r="V44" s="57">
        <f>IF(V$3=2010,K44*(1+VLOOKUP(V$3,'Returns &amp; Bonus'!$A$5:$B$15,2,0)),(K44+U44)*(1+VLOOKUP(V$3,'Returns &amp; Bonus'!$A$5:$B$15,2,0)))</f>
        <v>7581.42</v>
      </c>
      <c r="W44" s="57">
        <f>IF(W$3=2010,L44*(1+VLOOKUP(W$3,'Returns &amp; Bonus'!$A$5:$B$15,2,0)),(L44+V44)*(1+VLOOKUP(W$3,'Returns &amp; Bonus'!$A$5:$B$15,2,0)))</f>
        <v>19658.8518</v>
      </c>
      <c r="X44" s="57">
        <f>IF(X$3=2010,M44*(1+VLOOKUP(X$3,'Returns &amp; Bonus'!$A$5:$B$15,2,0)),(M44+W44)*(1+VLOOKUP(X$3,'Returns &amp; Bonus'!$A$5:$B$15,2,0)))</f>
        <v>26770.514764</v>
      </c>
      <c r="Y44" s="57">
        <f>IF(Y$3=2010,N44*(1+VLOOKUP(Y$3,'Returns &amp; Bonus'!$A$5:$B$15,2,0)),(N44+X44)*(1+VLOOKUP(Y$3,'Returns &amp; Bonus'!$A$5:$B$15,2,0)))</f>
        <v>32707.089025799996</v>
      </c>
      <c r="Z44" s="57">
        <f>IF(Z$3=2010,O44*(1+VLOOKUP(Z$3,'Returns &amp; Bonus'!$A$5:$B$15,2,0)),(O44+Y44)*(1+VLOOKUP(Z$3,'Returns &amp; Bonus'!$A$5:$B$15,2,0)))</f>
        <v>45612.550599153998</v>
      </c>
      <c r="AA44" s="57">
        <f>IF(AA$3=2010,P44*(1+VLOOKUP(AA$3,'Returns &amp; Bonus'!$A$5:$B$15,2,0)),(P44+Z44)*(1+VLOOKUP(AA$3,'Returns &amp; Bonus'!$A$5:$B$15,2,0)))</f>
        <v>59130.311165060943</v>
      </c>
      <c r="AB44" s="81">
        <f>IF(AB$3=2010,Q44*(1+VLOOKUP(AB$3,'Returns &amp; Bonus'!$A$5:$B$15,2,0)),(Q44+AA44)*(1+VLOOKUP(AB$3,'Returns &amp; Bonus'!$A$5:$B$15,2,0)))</f>
        <v>65452.544941759712</v>
      </c>
      <c r="AC44" s="85"/>
      <c r="AD44" s="58">
        <f t="shared" si="15"/>
        <v>41404.692441759718</v>
      </c>
      <c r="AE44" s="58">
        <f t="shared" si="16"/>
        <v>0</v>
      </c>
      <c r="AF44" s="58">
        <f t="shared" si="9"/>
        <v>24047.852499999997</v>
      </c>
      <c r="AG44" s="58">
        <f t="shared" si="10"/>
        <v>41404.692441759718</v>
      </c>
      <c r="AH44" s="55">
        <f>IF(VLOOKUP(A44,'Data &amp; Formulae'!$A$11:$F$91,6,0)="Y",BonusFundProp*AF44*VLOOKUP(YEAR(B44),'Returns &amp; Bonus'!$G$4:$I$15,3,0),0)</f>
        <v>0</v>
      </c>
      <c r="AI44" s="55">
        <f>IF(VLOOKUP(A44,'Data &amp; Formulae'!$A$11:$F$91,6,0)="Y",ClaimFundProp*AF44+AH44,0)</f>
        <v>0</v>
      </c>
      <c r="AJ44" s="55">
        <f t="shared" si="17"/>
        <v>0</v>
      </c>
      <c r="AK44" s="55">
        <f t="shared" si="11"/>
        <v>0</v>
      </c>
      <c r="AL44" s="60"/>
      <c r="AM44" s="71">
        <f t="shared" si="18"/>
        <v>0</v>
      </c>
      <c r="AN44" s="55">
        <f t="shared" si="12"/>
        <v>0</v>
      </c>
      <c r="AO44" s="60"/>
      <c r="AP44" s="71">
        <f>IF(VLOOKUP(A44,'Data &amp; Formulae'!$A$11:$F$91,6,0)="Y",Scen2Bonus*AF44,0)</f>
        <v>0</v>
      </c>
      <c r="AQ44" s="55">
        <f>IF(VLOOKUP(A44,'Data &amp; Formulae'!$A$11:$F$91,6,0)="Y",ClaimFundProp*AF44+AP44,0)</f>
        <v>0</v>
      </c>
      <c r="AR44" s="55">
        <f t="shared" si="19"/>
        <v>0</v>
      </c>
      <c r="AS44" s="55">
        <f t="shared" si="13"/>
        <v>0</v>
      </c>
      <c r="AT44" s="60"/>
      <c r="AU44" s="71">
        <f>IF(VLOOKUP(A44,'Data &amp; Formulae'!$A$11:$F$91,6,0)="Y",SurrPay*AF44,0)</f>
        <v>0</v>
      </c>
      <c r="AV44" s="73"/>
      <c r="AX44" s="4" t="b">
        <f t="shared" si="20"/>
        <v>1</v>
      </c>
      <c r="AY44" s="89" t="e">
        <f>(S44/(R44+H44)-1)-VLOOKUP(AY$3,'Returns &amp; Bonus'!$A$5:$B$15,2,0)</f>
        <v>#DIV/0!</v>
      </c>
      <c r="AZ44" s="89" t="e">
        <f>(T44/(S44+I44)-1)-VLOOKUP(AZ$3,'Returns &amp; Bonus'!$A$5:$B$15,2,0)</f>
        <v>#DIV/0!</v>
      </c>
      <c r="BA44" s="89" t="e">
        <f>(U44/(T44+J44)-1)-VLOOKUP(BA$3,'Returns &amp; Bonus'!$A$5:$B$15,2,0)</f>
        <v>#DIV/0!</v>
      </c>
      <c r="BB44" s="89">
        <f>(V44/(U44+K44)-1)-VLOOKUP(BB$3,'Returns &amp; Bonus'!$A$5:$B$15,2,0)</f>
        <v>0</v>
      </c>
      <c r="BC44" s="89">
        <f>(W44/(V44+L44)-1)-VLOOKUP(BC$3,'Returns &amp; Bonus'!$A$5:$B$15,2,0)</f>
        <v>0</v>
      </c>
      <c r="BD44" s="89">
        <f>(X44/(W44+M44)-1)-VLOOKUP(BD$3,'Returns &amp; Bonus'!$A$5:$B$15,2,0)</f>
        <v>0</v>
      </c>
      <c r="BE44" s="89">
        <f>(Y44/(X44+N44)-1)-VLOOKUP(BE$3,'Returns &amp; Bonus'!$A$5:$B$15,2,0)</f>
        <v>0</v>
      </c>
      <c r="BF44" s="89">
        <f>(Z44/(Y44+O44)-1)-VLOOKUP(BF$3,'Returns &amp; Bonus'!$A$5:$B$15,2,0)</f>
        <v>0</v>
      </c>
      <c r="BG44" s="89">
        <f>(AA44/(Z44+P44)-1)-VLOOKUP(BG$3,'Returns &amp; Bonus'!$A$5:$B$15,2,0)</f>
        <v>0</v>
      </c>
      <c r="BH44" s="89">
        <f>(AB44/(AA44+Q44)-1)-VLOOKUP(BH$3,'Returns &amp; Bonus'!$A$5:$B$15,2,0)</f>
        <v>0</v>
      </c>
    </row>
    <row r="45" spans="1:60" x14ac:dyDescent="0.25">
      <c r="A45" s="77">
        <f>'Amended Data'!A45</f>
        <v>42</v>
      </c>
      <c r="B45" s="75">
        <f>'Amended Data'!K45</f>
        <v>41640</v>
      </c>
      <c r="C45" s="55">
        <f>'Amended Data'!J45</f>
        <v>7130</v>
      </c>
      <c r="D45" s="56">
        <f>'Amended Data'!L45</f>
        <v>25</v>
      </c>
      <c r="E45" s="57">
        <f>'Amended Data'!M45</f>
        <v>21376.249999999996</v>
      </c>
      <c r="F45" s="57" t="str">
        <f>'Data &amp; Formulae'!H53</f>
        <v>Y</v>
      </c>
      <c r="G45" s="57">
        <f t="shared" si="21"/>
        <v>0</v>
      </c>
      <c r="H45" s="57">
        <f t="shared" si="21"/>
        <v>0</v>
      </c>
      <c r="I45" s="57">
        <f t="shared" si="21"/>
        <v>0</v>
      </c>
      <c r="J45" s="57">
        <f t="shared" si="21"/>
        <v>0</v>
      </c>
      <c r="K45" s="57">
        <f t="shared" si="21"/>
        <v>7130</v>
      </c>
      <c r="L45" s="57">
        <f t="shared" si="21"/>
        <v>7130</v>
      </c>
      <c r="M45" s="57">
        <f t="shared" si="21"/>
        <v>7130</v>
      </c>
      <c r="N45" s="57">
        <f t="shared" si="21"/>
        <v>7130</v>
      </c>
      <c r="O45" s="57">
        <f t="shared" si="21"/>
        <v>7130</v>
      </c>
      <c r="P45" s="57">
        <f t="shared" si="21"/>
        <v>7130</v>
      </c>
      <c r="Q45" s="57">
        <f t="shared" si="21"/>
        <v>7130</v>
      </c>
      <c r="R45" s="57">
        <f>IF(R$3=2010,G45*(1+VLOOKUP(R$3,'Returns &amp; Bonus'!$A$5:$B$15,2,0)),(G45+Q45)*(1+VLOOKUP(R$3,'Returns &amp; Bonus'!$A$5:$B$15,2,0)))</f>
        <v>0</v>
      </c>
      <c r="S45" s="57">
        <f>IF(S$3=2010,H45*(1+VLOOKUP(S$3,'Returns &amp; Bonus'!$A$5:$B$15,2,0)),(H45+R45)*(1+VLOOKUP(S$3,'Returns &amp; Bonus'!$A$5:$B$15,2,0)))</f>
        <v>0</v>
      </c>
      <c r="T45" s="57">
        <f>IF(T$3=2010,I45*(1+VLOOKUP(T$3,'Returns &amp; Bonus'!$A$5:$B$15,2,0)),(I45+S45)*(1+VLOOKUP(T$3,'Returns &amp; Bonus'!$A$5:$B$15,2,0)))</f>
        <v>0</v>
      </c>
      <c r="U45" s="57">
        <f>IF(U$3=2010,J45*(1+VLOOKUP(U$3,'Returns &amp; Bonus'!$A$5:$B$15,2,0)),(J45+T45)*(1+VLOOKUP(U$3,'Returns &amp; Bonus'!$A$5:$B$15,2,0)))</f>
        <v>0</v>
      </c>
      <c r="V45" s="57">
        <f>IF(V$3=2010,K45*(1+VLOOKUP(V$3,'Returns &amp; Bonus'!$A$5:$B$15,2,0)),(K45+U45)*(1+VLOOKUP(V$3,'Returns &amp; Bonus'!$A$5:$B$15,2,0)))</f>
        <v>7058.7</v>
      </c>
      <c r="W45" s="57">
        <f>IF(W$3=2010,L45*(1+VLOOKUP(W$3,'Returns &amp; Bonus'!$A$5:$B$15,2,0)),(L45+V45)*(1+VLOOKUP(W$3,'Returns &amp; Bonus'!$A$5:$B$15,2,0)))</f>
        <v>18303.423000000003</v>
      </c>
      <c r="X45" s="57">
        <f>IF(X$3=2010,M45*(1+VLOOKUP(X$3,'Returns &amp; Bonus'!$A$5:$B$15,2,0)),(M45+W45)*(1+VLOOKUP(X$3,'Returns &amp; Bonus'!$A$5:$B$15,2,0)))</f>
        <v>24924.754540000002</v>
      </c>
      <c r="Y45" s="57">
        <f>IF(Y$3=2010,N45*(1+VLOOKUP(Y$3,'Returns &amp; Bonus'!$A$5:$B$15,2,0)),(N45+X45)*(1+VLOOKUP(Y$3,'Returns &amp; Bonus'!$A$5:$B$15,2,0)))</f>
        <v>30452.016813000002</v>
      </c>
      <c r="Z45" s="57">
        <f>IF(Z$3=2010,O45*(1+VLOOKUP(Z$3,'Returns &amp; Bonus'!$A$5:$B$15,2,0)),(O45+Y45)*(1+VLOOKUP(Z$3,'Returns &amp; Bonus'!$A$5:$B$15,2,0)))</f>
        <v>42467.678998689997</v>
      </c>
      <c r="AA45" s="57">
        <f>IF(AA$3=2010,P45*(1+VLOOKUP(AA$3,'Returns &amp; Bonus'!$A$5:$B$15,2,0)),(P45+Z45)*(1+VLOOKUP(AA$3,'Returns &amp; Bonus'!$A$5:$B$15,2,0)))</f>
        <v>55053.423688545903</v>
      </c>
      <c r="AB45" s="81">
        <f>IF(AB$3=2010,Q45*(1+VLOOKUP(AB$3,'Returns &amp; Bonus'!$A$5:$B$15,2,0)),(Q45+AA45)*(1+VLOOKUP(AB$3,'Returns &amp; Bonus'!$A$5:$B$15,2,0)))</f>
        <v>60939.755214774981</v>
      </c>
      <c r="AC45" s="85"/>
      <c r="AD45" s="58">
        <f t="shared" si="15"/>
        <v>39563.505214774981</v>
      </c>
      <c r="AE45" s="58">
        <f t="shared" si="16"/>
        <v>0</v>
      </c>
      <c r="AF45" s="58">
        <f t="shared" si="9"/>
        <v>21376.249999999996</v>
      </c>
      <c r="AG45" s="58">
        <f t="shared" si="10"/>
        <v>39563.505214774981</v>
      </c>
      <c r="AH45" s="55">
        <f>IF(VLOOKUP(A45,'Data &amp; Formulae'!$A$11:$F$91,6,0)="Y",BonusFundProp*AF45*VLOOKUP(YEAR(B45),'Returns &amp; Bonus'!$G$4:$I$15,3,0),0)</f>
        <v>4595.8937499999993</v>
      </c>
      <c r="AI45" s="55">
        <f>IF(VLOOKUP(A45,'Data &amp; Formulae'!$A$11:$F$91,6,0)="Y",ClaimFundProp*AF45+AH45,0)</f>
        <v>21696.893749999996</v>
      </c>
      <c r="AJ45" s="55">
        <f t="shared" si="17"/>
        <v>21696.893749999996</v>
      </c>
      <c r="AK45" s="55">
        <f t="shared" si="11"/>
        <v>-320.64374999999927</v>
      </c>
      <c r="AL45" s="60"/>
      <c r="AM45" s="71">
        <f t="shared" si="18"/>
        <v>21696.893749999996</v>
      </c>
      <c r="AN45" s="55">
        <f t="shared" si="12"/>
        <v>-320.64374999999927</v>
      </c>
      <c r="AO45" s="60"/>
      <c r="AP45" s="71">
        <f>IF(VLOOKUP(A45,'Data &amp; Formulae'!$A$11:$F$91,6,0)="Y",Scen2Bonus*AF45,0)</f>
        <v>4489.0124999999989</v>
      </c>
      <c r="AQ45" s="55">
        <f>IF(VLOOKUP(A45,'Data &amp; Formulae'!$A$11:$F$91,6,0)="Y",ClaimFundProp*AF45+AP45,0)</f>
        <v>21590.012499999997</v>
      </c>
      <c r="AR45" s="55">
        <f t="shared" si="19"/>
        <v>21590.012499999997</v>
      </c>
      <c r="AS45" s="55">
        <f t="shared" si="13"/>
        <v>-213.76250000000073</v>
      </c>
      <c r="AT45" s="60"/>
      <c r="AU45" s="71">
        <f>IF(VLOOKUP(A45,'Data &amp; Formulae'!$A$11:$F$91,6,0)="Y",SurrPay*AF45,0)</f>
        <v>534.40624999999989</v>
      </c>
      <c r="AV45" s="73"/>
      <c r="AX45" s="4" t="b">
        <f t="shared" si="20"/>
        <v>1</v>
      </c>
      <c r="AY45" s="89" t="e">
        <f>(S45/(R45+H45)-1)-VLOOKUP(AY$3,'Returns &amp; Bonus'!$A$5:$B$15,2,0)</f>
        <v>#DIV/0!</v>
      </c>
      <c r="AZ45" s="89" t="e">
        <f>(T45/(S45+I45)-1)-VLOOKUP(AZ$3,'Returns &amp; Bonus'!$A$5:$B$15,2,0)</f>
        <v>#DIV/0!</v>
      </c>
      <c r="BA45" s="89" t="e">
        <f>(U45/(T45+J45)-1)-VLOOKUP(BA$3,'Returns &amp; Bonus'!$A$5:$B$15,2,0)</f>
        <v>#DIV/0!</v>
      </c>
      <c r="BB45" s="89">
        <f>(V45/(U45+K45)-1)-VLOOKUP(BB$3,'Returns &amp; Bonus'!$A$5:$B$15,2,0)</f>
        <v>0</v>
      </c>
      <c r="BC45" s="89">
        <f>(W45/(V45+L45)-1)-VLOOKUP(BC$3,'Returns &amp; Bonus'!$A$5:$B$15,2,0)</f>
        <v>0</v>
      </c>
      <c r="BD45" s="89">
        <f>(X45/(W45+M45)-1)-VLOOKUP(BD$3,'Returns &amp; Bonus'!$A$5:$B$15,2,0)</f>
        <v>0</v>
      </c>
      <c r="BE45" s="89">
        <f>(Y45/(X45+N45)-1)-VLOOKUP(BE$3,'Returns &amp; Bonus'!$A$5:$B$15,2,0)</f>
        <v>6.9388939039072284E-17</v>
      </c>
      <c r="BF45" s="89">
        <f>(Z45/(Y45+O45)-1)-VLOOKUP(BF$3,'Returns &amp; Bonus'!$A$5:$B$15,2,0)</f>
        <v>0</v>
      </c>
      <c r="BG45" s="89">
        <f>(AA45/(Z45+P45)-1)-VLOOKUP(BG$3,'Returns &amp; Bonus'!$A$5:$B$15,2,0)</f>
        <v>0</v>
      </c>
      <c r="BH45" s="89">
        <f>(AB45/(AA45+Q45)-1)-VLOOKUP(BH$3,'Returns &amp; Bonus'!$A$5:$B$15,2,0)</f>
        <v>0</v>
      </c>
    </row>
    <row r="46" spans="1:60" x14ac:dyDescent="0.25">
      <c r="A46" s="77">
        <f>'Amended Data'!A46</f>
        <v>43</v>
      </c>
      <c r="B46" s="75">
        <f>'Amended Data'!K46</f>
        <v>41640</v>
      </c>
      <c r="C46" s="55">
        <f>'Amended Data'!J46</f>
        <v>2230</v>
      </c>
      <c r="D46" s="56">
        <f>'Amended Data'!L46</f>
        <v>26</v>
      </c>
      <c r="E46" s="57">
        <f>'Amended Data'!M46</f>
        <v>6728.1899999999987</v>
      </c>
      <c r="F46" s="57" t="str">
        <f>'Data &amp; Formulae'!H54</f>
        <v>Y</v>
      </c>
      <c r="G46" s="57">
        <f t="shared" si="21"/>
        <v>0</v>
      </c>
      <c r="H46" s="57">
        <f t="shared" si="21"/>
        <v>0</v>
      </c>
      <c r="I46" s="57">
        <f t="shared" si="21"/>
        <v>0</v>
      </c>
      <c r="J46" s="57">
        <f t="shared" si="21"/>
        <v>0</v>
      </c>
      <c r="K46" s="57">
        <f t="shared" si="21"/>
        <v>2230</v>
      </c>
      <c r="L46" s="57">
        <f t="shared" si="21"/>
        <v>2230</v>
      </c>
      <c r="M46" s="57">
        <f t="shared" si="21"/>
        <v>2230</v>
      </c>
      <c r="N46" s="57">
        <f t="shared" si="21"/>
        <v>2230</v>
      </c>
      <c r="O46" s="57">
        <f t="shared" si="21"/>
        <v>2230</v>
      </c>
      <c r="P46" s="57">
        <f t="shared" si="21"/>
        <v>2230</v>
      </c>
      <c r="Q46" s="57">
        <f t="shared" si="21"/>
        <v>2230</v>
      </c>
      <c r="R46" s="57">
        <f>IF(R$3=2010,G46*(1+VLOOKUP(R$3,'Returns &amp; Bonus'!$A$5:$B$15,2,0)),(G46+Q46)*(1+VLOOKUP(R$3,'Returns &amp; Bonus'!$A$5:$B$15,2,0)))</f>
        <v>0</v>
      </c>
      <c r="S46" s="57">
        <f>IF(S$3=2010,H46*(1+VLOOKUP(S$3,'Returns &amp; Bonus'!$A$5:$B$15,2,0)),(H46+R46)*(1+VLOOKUP(S$3,'Returns &amp; Bonus'!$A$5:$B$15,2,0)))</f>
        <v>0</v>
      </c>
      <c r="T46" s="57">
        <f>IF(T$3=2010,I46*(1+VLOOKUP(T$3,'Returns &amp; Bonus'!$A$5:$B$15,2,0)),(I46+S46)*(1+VLOOKUP(T$3,'Returns &amp; Bonus'!$A$5:$B$15,2,0)))</f>
        <v>0</v>
      </c>
      <c r="U46" s="57">
        <f>IF(U$3=2010,J46*(1+VLOOKUP(U$3,'Returns &amp; Bonus'!$A$5:$B$15,2,0)),(J46+T46)*(1+VLOOKUP(U$3,'Returns &amp; Bonus'!$A$5:$B$15,2,0)))</f>
        <v>0</v>
      </c>
      <c r="V46" s="57">
        <f>IF(V$3=2010,K46*(1+VLOOKUP(V$3,'Returns &amp; Bonus'!$A$5:$B$15,2,0)),(K46+U46)*(1+VLOOKUP(V$3,'Returns &amp; Bonus'!$A$5:$B$15,2,0)))</f>
        <v>2207.6999999999998</v>
      </c>
      <c r="W46" s="57">
        <f>IF(W$3=2010,L46*(1+VLOOKUP(W$3,'Returns &amp; Bonus'!$A$5:$B$15,2,0)),(L46+V46)*(1+VLOOKUP(W$3,'Returns &amp; Bonus'!$A$5:$B$15,2,0)))</f>
        <v>5724.6329999999998</v>
      </c>
      <c r="X46" s="57">
        <f>IF(X$3=2010,M46*(1+VLOOKUP(X$3,'Returns &amp; Bonus'!$A$5:$B$15,2,0)),(M46+W46)*(1+VLOOKUP(X$3,'Returns &amp; Bonus'!$A$5:$B$15,2,0)))</f>
        <v>7795.5403399999996</v>
      </c>
      <c r="Y46" s="57">
        <f>IF(Y$3=2010,N46*(1+VLOOKUP(Y$3,'Returns &amp; Bonus'!$A$5:$B$15,2,0)),(N46+X46)*(1+VLOOKUP(Y$3,'Returns &amp; Bonus'!$A$5:$B$15,2,0)))</f>
        <v>9524.2633229999992</v>
      </c>
      <c r="Z46" s="57">
        <f>IF(Z$3=2010,O46*(1+VLOOKUP(Z$3,'Returns &amp; Bonus'!$A$5:$B$15,2,0)),(O46+Y46)*(1+VLOOKUP(Z$3,'Returns &amp; Bonus'!$A$5:$B$15,2,0)))</f>
        <v>13282.317554989997</v>
      </c>
      <c r="AA46" s="57">
        <f>IF(AA$3=2010,P46*(1+VLOOKUP(AA$3,'Returns &amp; Bonus'!$A$5:$B$15,2,0)),(P46+Z46)*(1+VLOOKUP(AA$3,'Returns &amp; Bonus'!$A$5:$B$15,2,0)))</f>
        <v>17218.672486038897</v>
      </c>
      <c r="AB46" s="81">
        <f>IF(AB$3=2010,Q46*(1+VLOOKUP(AB$3,'Returns &amp; Bonus'!$A$5:$B$15,2,0)),(Q46+AA46)*(1+VLOOKUP(AB$3,'Returns &amp; Bonus'!$A$5:$B$15,2,0)))</f>
        <v>19059.699036318118</v>
      </c>
      <c r="AC46" s="85"/>
      <c r="AD46" s="58">
        <f t="shared" si="15"/>
        <v>12331.509036318119</v>
      </c>
      <c r="AE46" s="58">
        <f t="shared" si="16"/>
        <v>0</v>
      </c>
      <c r="AF46" s="58">
        <f t="shared" si="9"/>
        <v>6728.1899999999987</v>
      </c>
      <c r="AG46" s="58">
        <f t="shared" si="10"/>
        <v>12331.509036318119</v>
      </c>
      <c r="AH46" s="55">
        <f>IF(VLOOKUP(A46,'Data &amp; Formulae'!$A$11:$F$91,6,0)="Y",BonusFundProp*AF46*VLOOKUP(YEAR(B46),'Returns &amp; Bonus'!$G$4:$I$15,3,0),0)</f>
        <v>1446.5608499999998</v>
      </c>
      <c r="AI46" s="55">
        <f>IF(VLOOKUP(A46,'Data &amp; Formulae'!$A$11:$F$91,6,0)="Y",ClaimFundProp*AF46+AH46,0)</f>
        <v>6829.1128499999995</v>
      </c>
      <c r="AJ46" s="55">
        <f t="shared" si="17"/>
        <v>6829.1128499999995</v>
      </c>
      <c r="AK46" s="55">
        <f t="shared" si="11"/>
        <v>-100.92285000000084</v>
      </c>
      <c r="AL46" s="60"/>
      <c r="AM46" s="71">
        <f t="shared" si="18"/>
        <v>6829.1128499999995</v>
      </c>
      <c r="AN46" s="55">
        <f t="shared" si="12"/>
        <v>-100.92285000000084</v>
      </c>
      <c r="AO46" s="60"/>
      <c r="AP46" s="71">
        <f>IF(VLOOKUP(A46,'Data &amp; Formulae'!$A$11:$F$91,6,0)="Y",Scen2Bonus*AF46,0)</f>
        <v>1412.9198999999996</v>
      </c>
      <c r="AQ46" s="55">
        <f>IF(VLOOKUP(A46,'Data &amp; Formulae'!$A$11:$F$91,6,0)="Y",ClaimFundProp*AF46+AP46,0)</f>
        <v>6795.4718999999996</v>
      </c>
      <c r="AR46" s="55">
        <f t="shared" si="19"/>
        <v>6795.4718999999996</v>
      </c>
      <c r="AS46" s="55">
        <f t="shared" si="13"/>
        <v>-67.28190000000086</v>
      </c>
      <c r="AT46" s="60"/>
      <c r="AU46" s="71">
        <f>IF(VLOOKUP(A46,'Data &amp; Formulae'!$A$11:$F$91,6,0)="Y",SurrPay*AF46,0)</f>
        <v>168.20474999999999</v>
      </c>
      <c r="AV46" s="73"/>
      <c r="AX46" s="4" t="b">
        <f t="shared" si="20"/>
        <v>1</v>
      </c>
      <c r="AY46" s="89" t="e">
        <f>(S46/(R46+H46)-1)-VLOOKUP(AY$3,'Returns &amp; Bonus'!$A$5:$B$15,2,0)</f>
        <v>#DIV/0!</v>
      </c>
      <c r="AZ46" s="89" t="e">
        <f>(T46/(S46+I46)-1)-VLOOKUP(AZ$3,'Returns &amp; Bonus'!$A$5:$B$15,2,0)</f>
        <v>#DIV/0!</v>
      </c>
      <c r="BA46" s="89" t="e">
        <f>(U46/(T46+J46)-1)-VLOOKUP(BA$3,'Returns &amp; Bonus'!$A$5:$B$15,2,0)</f>
        <v>#DIV/0!</v>
      </c>
      <c r="BB46" s="89">
        <f>(V46/(U46+K46)-1)-VLOOKUP(BB$3,'Returns &amp; Bonus'!$A$5:$B$15,2,0)</f>
        <v>-1.1969591984239969E-16</v>
      </c>
      <c r="BC46" s="89">
        <f>(W46/(V46+L46)-1)-VLOOKUP(BC$3,'Returns &amp; Bonus'!$A$5:$B$15,2,0)</f>
        <v>0</v>
      </c>
      <c r="BD46" s="89">
        <f>(X46/(W46+M46)-1)-VLOOKUP(BD$3,'Returns &amp; Bonus'!$A$5:$B$15,2,0)</f>
        <v>0</v>
      </c>
      <c r="BE46" s="89">
        <f>(Y46/(X46+N46)-1)-VLOOKUP(BE$3,'Returns &amp; Bonus'!$A$5:$B$15,2,0)</f>
        <v>0</v>
      </c>
      <c r="BF46" s="89">
        <f>(Z46/(Y46+O46)-1)-VLOOKUP(BF$3,'Returns &amp; Bonus'!$A$5:$B$15,2,0)</f>
        <v>0</v>
      </c>
      <c r="BG46" s="89">
        <f>(AA46/(Z46+P46)-1)-VLOOKUP(BG$3,'Returns &amp; Bonus'!$A$5:$B$15,2,0)</f>
        <v>0</v>
      </c>
      <c r="BH46" s="89">
        <f>(AB46/(AA46+Q46)-1)-VLOOKUP(BH$3,'Returns &amp; Bonus'!$A$5:$B$15,2,0)</f>
        <v>0</v>
      </c>
    </row>
    <row r="47" spans="1:60" x14ac:dyDescent="0.25">
      <c r="A47" s="77">
        <f>'Amended Data'!A47</f>
        <v>44</v>
      </c>
      <c r="B47" s="75">
        <f>'Amended Data'!K47</f>
        <v>41640</v>
      </c>
      <c r="C47" s="55">
        <f>'Amended Data'!J47</f>
        <v>7479</v>
      </c>
      <c r="D47" s="56">
        <f>'Amended Data'!L47</f>
        <v>12</v>
      </c>
      <c r="E47" s="57">
        <f>'Amended Data'!M47</f>
        <v>1351.9099999999999</v>
      </c>
      <c r="F47" s="57" t="str">
        <f>'Data &amp; Formulae'!H55</f>
        <v>Y</v>
      </c>
      <c r="G47" s="57">
        <f t="shared" si="21"/>
        <v>0</v>
      </c>
      <c r="H47" s="57">
        <f t="shared" si="21"/>
        <v>0</v>
      </c>
      <c r="I47" s="57">
        <f t="shared" si="21"/>
        <v>0</v>
      </c>
      <c r="J47" s="57">
        <f t="shared" si="21"/>
        <v>0</v>
      </c>
      <c r="K47" s="57">
        <f t="shared" si="21"/>
        <v>7479</v>
      </c>
      <c r="L47" s="57">
        <f t="shared" si="21"/>
        <v>7479</v>
      </c>
      <c r="M47" s="57">
        <f t="shared" si="21"/>
        <v>7479</v>
      </c>
      <c r="N47" s="57">
        <f t="shared" si="21"/>
        <v>7479</v>
      </c>
      <c r="O47" s="57">
        <f t="shared" si="21"/>
        <v>7479</v>
      </c>
      <c r="P47" s="57">
        <f t="shared" si="21"/>
        <v>7479</v>
      </c>
      <c r="Q47" s="57">
        <f t="shared" si="21"/>
        <v>7479</v>
      </c>
      <c r="R47" s="57">
        <f>IF(R$3=2010,G47*(1+VLOOKUP(R$3,'Returns &amp; Bonus'!$A$5:$B$15,2,0)),(G47+Q47)*(1+VLOOKUP(R$3,'Returns &amp; Bonus'!$A$5:$B$15,2,0)))</f>
        <v>0</v>
      </c>
      <c r="S47" s="57">
        <f>IF(S$3=2010,H47*(1+VLOOKUP(S$3,'Returns &amp; Bonus'!$A$5:$B$15,2,0)),(H47+R47)*(1+VLOOKUP(S$3,'Returns &amp; Bonus'!$A$5:$B$15,2,0)))</f>
        <v>0</v>
      </c>
      <c r="T47" s="57">
        <f>IF(T$3=2010,I47*(1+VLOOKUP(T$3,'Returns &amp; Bonus'!$A$5:$B$15,2,0)),(I47+S47)*(1+VLOOKUP(T$3,'Returns &amp; Bonus'!$A$5:$B$15,2,0)))</f>
        <v>0</v>
      </c>
      <c r="U47" s="57">
        <f>IF(U$3=2010,J47*(1+VLOOKUP(U$3,'Returns &amp; Bonus'!$A$5:$B$15,2,0)),(J47+T47)*(1+VLOOKUP(U$3,'Returns &amp; Bonus'!$A$5:$B$15,2,0)))</f>
        <v>0</v>
      </c>
      <c r="V47" s="57">
        <f>IF(V$3=2010,K47*(1+VLOOKUP(V$3,'Returns &amp; Bonus'!$A$5:$B$15,2,0)),(K47+U47)*(1+VLOOKUP(V$3,'Returns &amp; Bonus'!$A$5:$B$15,2,0)))</f>
        <v>7404.21</v>
      </c>
      <c r="W47" s="57">
        <f>IF(W$3=2010,L47*(1+VLOOKUP(W$3,'Returns &amp; Bonus'!$A$5:$B$15,2,0)),(L47+V47)*(1+VLOOKUP(W$3,'Returns &amp; Bonus'!$A$5:$B$15,2,0)))</f>
        <v>19199.340899999999</v>
      </c>
      <c r="X47" s="57">
        <f>IF(X$3=2010,M47*(1+VLOOKUP(X$3,'Returns &amp; Bonus'!$A$5:$B$15,2,0)),(M47+W47)*(1+VLOOKUP(X$3,'Returns &amp; Bonus'!$A$5:$B$15,2,0)))</f>
        <v>26144.774082</v>
      </c>
      <c r="Y47" s="57">
        <f>IF(Y$3=2010,N47*(1+VLOOKUP(Y$3,'Returns &amp; Bonus'!$A$5:$B$15,2,0)),(N47+X47)*(1+VLOOKUP(Y$3,'Returns &amp; Bonus'!$A$5:$B$15,2,0)))</f>
        <v>31942.585377900003</v>
      </c>
      <c r="Z47" s="57">
        <f>IF(Z$3=2010,O47*(1+VLOOKUP(Z$3,'Returns &amp; Bonus'!$A$5:$B$15,2,0)),(O47+Y47)*(1+VLOOKUP(Z$3,'Returns &amp; Bonus'!$A$5:$B$15,2,0)))</f>
        <v>44546.391477026998</v>
      </c>
      <c r="AA47" s="57">
        <f>IF(AA$3=2010,P47*(1+VLOOKUP(AA$3,'Returns &amp; Bonus'!$A$5:$B$15,2,0)),(P47+Z47)*(1+VLOOKUP(AA$3,'Returns &amp; Bonus'!$A$5:$B$15,2,0)))</f>
        <v>57748.184539499976</v>
      </c>
      <c r="AB47" s="81">
        <f>IF(AB$3=2010,Q47*(1+VLOOKUP(AB$3,'Returns &amp; Bonus'!$A$5:$B$15,2,0)),(Q47+AA47)*(1+VLOOKUP(AB$3,'Returns &amp; Bonus'!$A$5:$B$15,2,0)))</f>
        <v>63922.640848709976</v>
      </c>
      <c r="AC47" s="85"/>
      <c r="AD47" s="58">
        <f t="shared" si="15"/>
        <v>62570.73084870998</v>
      </c>
      <c r="AE47" s="58">
        <f t="shared" si="16"/>
        <v>0</v>
      </c>
      <c r="AF47" s="58">
        <f t="shared" si="9"/>
        <v>1351.9099999999999</v>
      </c>
      <c r="AG47" s="58">
        <f t="shared" si="10"/>
        <v>62570.73084870998</v>
      </c>
      <c r="AH47" s="55">
        <f>IF(VLOOKUP(A47,'Data &amp; Formulae'!$A$11:$F$91,6,0)="Y",BonusFundProp*AF47*VLOOKUP(YEAR(B47),'Returns &amp; Bonus'!$G$4:$I$15,3,0),0)</f>
        <v>0</v>
      </c>
      <c r="AI47" s="55">
        <f>IF(VLOOKUP(A47,'Data &amp; Formulae'!$A$11:$F$91,6,0)="Y",ClaimFundProp*AF47+AH47,0)</f>
        <v>0</v>
      </c>
      <c r="AJ47" s="55">
        <f t="shared" si="17"/>
        <v>0</v>
      </c>
      <c r="AK47" s="55">
        <f t="shared" si="11"/>
        <v>0</v>
      </c>
      <c r="AL47" s="60"/>
      <c r="AM47" s="71">
        <f t="shared" si="18"/>
        <v>0</v>
      </c>
      <c r="AN47" s="55">
        <f t="shared" si="12"/>
        <v>0</v>
      </c>
      <c r="AO47" s="60"/>
      <c r="AP47" s="71">
        <f>IF(VLOOKUP(A47,'Data &amp; Formulae'!$A$11:$F$91,6,0)="Y",Scen2Bonus*AF47,0)</f>
        <v>0</v>
      </c>
      <c r="AQ47" s="55">
        <f>IF(VLOOKUP(A47,'Data &amp; Formulae'!$A$11:$F$91,6,0)="Y",ClaimFundProp*AF47+AP47,0)</f>
        <v>0</v>
      </c>
      <c r="AR47" s="55">
        <f t="shared" si="19"/>
        <v>0</v>
      </c>
      <c r="AS47" s="55">
        <f t="shared" si="13"/>
        <v>0</v>
      </c>
      <c r="AT47" s="60"/>
      <c r="AU47" s="71">
        <f>IF(VLOOKUP(A47,'Data &amp; Formulae'!$A$11:$F$91,6,0)="Y",SurrPay*AF47,0)</f>
        <v>0</v>
      </c>
      <c r="AV47" s="73"/>
      <c r="AX47" s="4" t="b">
        <f t="shared" si="20"/>
        <v>1</v>
      </c>
      <c r="AY47" s="89" t="e">
        <f>(S47/(R47+H47)-1)-VLOOKUP(AY$3,'Returns &amp; Bonus'!$A$5:$B$15,2,0)</f>
        <v>#DIV/0!</v>
      </c>
      <c r="AZ47" s="89" t="e">
        <f>(T47/(S47+I47)-1)-VLOOKUP(AZ$3,'Returns &amp; Bonus'!$A$5:$B$15,2,0)</f>
        <v>#DIV/0!</v>
      </c>
      <c r="BA47" s="89" t="e">
        <f>(U47/(T47+J47)-1)-VLOOKUP(BA$3,'Returns &amp; Bonus'!$A$5:$B$15,2,0)</f>
        <v>#DIV/0!</v>
      </c>
      <c r="BB47" s="89">
        <f>(V47/(U47+K47)-1)-VLOOKUP(BB$3,'Returns &amp; Bonus'!$A$5:$B$15,2,0)</f>
        <v>0</v>
      </c>
      <c r="BC47" s="89">
        <f>(W47/(V47+L47)-1)-VLOOKUP(BC$3,'Returns &amp; Bonus'!$A$5:$B$15,2,0)</f>
        <v>0</v>
      </c>
      <c r="BD47" s="89">
        <f>(X47/(W47+M47)-1)-VLOOKUP(BD$3,'Returns &amp; Bonus'!$A$5:$B$15,2,0)</f>
        <v>0</v>
      </c>
      <c r="BE47" s="89">
        <f>(Y47/(X47+N47)-1)-VLOOKUP(BE$3,'Returns &amp; Bonus'!$A$5:$B$15,2,0)</f>
        <v>0</v>
      </c>
      <c r="BF47" s="89">
        <f>(Z47/(Y47+O47)-1)-VLOOKUP(BF$3,'Returns &amp; Bonus'!$A$5:$B$15,2,0)</f>
        <v>0</v>
      </c>
      <c r="BG47" s="89">
        <f>(AA47/(Z47+P47)-1)-VLOOKUP(BG$3,'Returns &amp; Bonus'!$A$5:$B$15,2,0)</f>
        <v>0</v>
      </c>
      <c r="BH47" s="89">
        <f>(AB47/(AA47+Q47)-1)-VLOOKUP(BH$3,'Returns &amp; Bonus'!$A$5:$B$15,2,0)</f>
        <v>0</v>
      </c>
    </row>
    <row r="48" spans="1:60" x14ac:dyDescent="0.25">
      <c r="A48" s="77">
        <f>'Amended Data'!A48</f>
        <v>45</v>
      </c>
      <c r="B48" s="75">
        <f>'Amended Data'!K48</f>
        <v>41640</v>
      </c>
      <c r="C48" s="55">
        <f>'Amended Data'!J48</f>
        <v>5408</v>
      </c>
      <c r="D48" s="56">
        <f>'Amended Data'!L48</f>
        <v>11</v>
      </c>
      <c r="E48" s="57">
        <f>'Amended Data'!M48</f>
        <v>145.52999999999997</v>
      </c>
      <c r="F48" s="57" t="str">
        <f>'Data &amp; Formulae'!H56</f>
        <v>Y</v>
      </c>
      <c r="G48" s="57">
        <f t="shared" si="21"/>
        <v>0</v>
      </c>
      <c r="H48" s="57">
        <f t="shared" si="21"/>
        <v>0</v>
      </c>
      <c r="I48" s="57">
        <f t="shared" si="21"/>
        <v>0</v>
      </c>
      <c r="J48" s="57">
        <f t="shared" si="21"/>
        <v>0</v>
      </c>
      <c r="K48" s="57">
        <f t="shared" si="21"/>
        <v>5408</v>
      </c>
      <c r="L48" s="57">
        <f t="shared" si="21"/>
        <v>5408</v>
      </c>
      <c r="M48" s="57">
        <f t="shared" si="21"/>
        <v>5408</v>
      </c>
      <c r="N48" s="57">
        <f t="shared" si="21"/>
        <v>5408</v>
      </c>
      <c r="O48" s="57">
        <f t="shared" si="21"/>
        <v>5408</v>
      </c>
      <c r="P48" s="57">
        <f t="shared" si="21"/>
        <v>5408</v>
      </c>
      <c r="Q48" s="57">
        <f t="shared" si="21"/>
        <v>5408</v>
      </c>
      <c r="R48" s="57">
        <f>IF(R$3=2010,G48*(1+VLOOKUP(R$3,'Returns &amp; Bonus'!$A$5:$B$15,2,0)),(G48+Q48)*(1+VLOOKUP(R$3,'Returns &amp; Bonus'!$A$5:$B$15,2,0)))</f>
        <v>0</v>
      </c>
      <c r="S48" s="57">
        <f>IF(S$3=2010,H48*(1+VLOOKUP(S$3,'Returns &amp; Bonus'!$A$5:$B$15,2,0)),(H48+R48)*(1+VLOOKUP(S$3,'Returns &amp; Bonus'!$A$5:$B$15,2,0)))</f>
        <v>0</v>
      </c>
      <c r="T48" s="57">
        <f>IF(T$3=2010,I48*(1+VLOOKUP(T$3,'Returns &amp; Bonus'!$A$5:$B$15,2,0)),(I48+S48)*(1+VLOOKUP(T$3,'Returns &amp; Bonus'!$A$5:$B$15,2,0)))</f>
        <v>0</v>
      </c>
      <c r="U48" s="57">
        <f>IF(U$3=2010,J48*(1+VLOOKUP(U$3,'Returns &amp; Bonus'!$A$5:$B$15,2,0)),(J48+T48)*(1+VLOOKUP(U$3,'Returns &amp; Bonus'!$A$5:$B$15,2,0)))</f>
        <v>0</v>
      </c>
      <c r="V48" s="57">
        <f>IF(V$3=2010,K48*(1+VLOOKUP(V$3,'Returns &amp; Bonus'!$A$5:$B$15,2,0)),(K48+U48)*(1+VLOOKUP(V$3,'Returns &amp; Bonus'!$A$5:$B$15,2,0)))</f>
        <v>5353.92</v>
      </c>
      <c r="W48" s="57">
        <f>IF(W$3=2010,L48*(1+VLOOKUP(W$3,'Returns &amp; Bonus'!$A$5:$B$15,2,0)),(L48+V48)*(1+VLOOKUP(W$3,'Returns &amp; Bonus'!$A$5:$B$15,2,0)))</f>
        <v>13882.8768</v>
      </c>
      <c r="X48" s="57">
        <f>IF(X$3=2010,M48*(1+VLOOKUP(X$3,'Returns &amp; Bonus'!$A$5:$B$15,2,0)),(M48+W48)*(1+VLOOKUP(X$3,'Returns &amp; Bonus'!$A$5:$B$15,2,0)))</f>
        <v>18905.059264</v>
      </c>
      <c r="Y48" s="57">
        <f>IF(Y$3=2010,N48*(1+VLOOKUP(Y$3,'Returns &amp; Bonus'!$A$5:$B$15,2,0)),(N48+X48)*(1+VLOOKUP(Y$3,'Returns &amp; Bonus'!$A$5:$B$15,2,0)))</f>
        <v>23097.406300799998</v>
      </c>
      <c r="Z48" s="57">
        <f>IF(Z$3=2010,O48*(1+VLOOKUP(Z$3,'Returns &amp; Bonus'!$A$5:$B$15,2,0)),(O48+Y48)*(1+VLOOKUP(Z$3,'Returns &amp; Bonus'!$A$5:$B$15,2,0)))</f>
        <v>32211.109119903995</v>
      </c>
      <c r="AA48" s="57">
        <f>IF(AA$3=2010,P48*(1+VLOOKUP(AA$3,'Returns &amp; Bonus'!$A$5:$B$15,2,0)),(P48+Z48)*(1+VLOOKUP(AA$3,'Returns &amp; Bonus'!$A$5:$B$15,2,0)))</f>
        <v>41757.211123093439</v>
      </c>
      <c r="AB48" s="81">
        <f>IF(AB$3=2010,Q48*(1+VLOOKUP(AB$3,'Returns &amp; Bonus'!$A$5:$B$15,2,0)),(Q48+AA48)*(1+VLOOKUP(AB$3,'Returns &amp; Bonus'!$A$5:$B$15,2,0)))</f>
        <v>46221.906900631569</v>
      </c>
      <c r="AC48" s="85"/>
      <c r="AD48" s="58">
        <f t="shared" si="15"/>
        <v>46076.376900631571</v>
      </c>
      <c r="AE48" s="58">
        <f t="shared" si="16"/>
        <v>0</v>
      </c>
      <c r="AF48" s="58">
        <f t="shared" si="9"/>
        <v>145.52999999999997</v>
      </c>
      <c r="AG48" s="58">
        <f t="shared" si="10"/>
        <v>46076.376900631571</v>
      </c>
      <c r="AH48" s="55">
        <f>IF(VLOOKUP(A48,'Data &amp; Formulae'!$A$11:$F$91,6,0)="Y",BonusFundProp*AF48*VLOOKUP(YEAR(B48),'Returns &amp; Bonus'!$G$4:$I$15,3,0),0)</f>
        <v>31.288949999999993</v>
      </c>
      <c r="AI48" s="55">
        <f>IF(VLOOKUP(A48,'Data &amp; Formulae'!$A$11:$F$91,6,0)="Y",ClaimFundProp*AF48+AH48,0)</f>
        <v>147.71294999999998</v>
      </c>
      <c r="AJ48" s="55">
        <f t="shared" si="17"/>
        <v>147.71294999999998</v>
      </c>
      <c r="AK48" s="55">
        <f t="shared" si="11"/>
        <v>-2.1829500000000053</v>
      </c>
      <c r="AL48" s="60"/>
      <c r="AM48" s="71">
        <f t="shared" si="18"/>
        <v>147.71294999999998</v>
      </c>
      <c r="AN48" s="55">
        <f t="shared" si="12"/>
        <v>-2.1829500000000053</v>
      </c>
      <c r="AO48" s="60"/>
      <c r="AP48" s="71">
        <f>IF(VLOOKUP(A48,'Data &amp; Formulae'!$A$11:$F$91,6,0)="Y",Scen2Bonus*AF48,0)</f>
        <v>30.561299999999992</v>
      </c>
      <c r="AQ48" s="55">
        <f>IF(VLOOKUP(A48,'Data &amp; Formulae'!$A$11:$F$91,6,0)="Y",ClaimFundProp*AF48+AP48,0)</f>
        <v>146.98529999999997</v>
      </c>
      <c r="AR48" s="55">
        <f t="shared" si="19"/>
        <v>146.98529999999997</v>
      </c>
      <c r="AS48" s="55">
        <f t="shared" si="13"/>
        <v>-1.455299999999994</v>
      </c>
      <c r="AT48" s="60"/>
      <c r="AU48" s="71">
        <f>IF(VLOOKUP(A48,'Data &amp; Formulae'!$A$11:$F$91,6,0)="Y",SurrPay*AF48,0)</f>
        <v>3.6382499999999993</v>
      </c>
      <c r="AV48" s="73"/>
      <c r="AX48" s="4" t="b">
        <f t="shared" si="20"/>
        <v>1</v>
      </c>
      <c r="AY48" s="89" t="e">
        <f>(S48/(R48+H48)-1)-VLOOKUP(AY$3,'Returns &amp; Bonus'!$A$5:$B$15,2,0)</f>
        <v>#DIV/0!</v>
      </c>
      <c r="AZ48" s="89" t="e">
        <f>(T48/(S48+I48)-1)-VLOOKUP(AZ$3,'Returns &amp; Bonus'!$A$5:$B$15,2,0)</f>
        <v>#DIV/0!</v>
      </c>
      <c r="BA48" s="89" t="e">
        <f>(U48/(T48+J48)-1)-VLOOKUP(BA$3,'Returns &amp; Bonus'!$A$5:$B$15,2,0)</f>
        <v>#DIV/0!</v>
      </c>
      <c r="BB48" s="89">
        <f>(V48/(U48+K48)-1)-VLOOKUP(BB$3,'Returns &amp; Bonus'!$A$5:$B$15,2,0)</f>
        <v>0</v>
      </c>
      <c r="BC48" s="89">
        <f>(W48/(V48+L48)-1)-VLOOKUP(BC$3,'Returns &amp; Bonus'!$A$5:$B$15,2,0)</f>
        <v>0</v>
      </c>
      <c r="BD48" s="89">
        <f>(X48/(W48+M48)-1)-VLOOKUP(BD$3,'Returns &amp; Bonus'!$A$5:$B$15,2,0)</f>
        <v>9.3675067702747583E-17</v>
      </c>
      <c r="BE48" s="89">
        <f>(Y48/(X48+N48)-1)-VLOOKUP(BE$3,'Returns &amp; Bonus'!$A$5:$B$15,2,0)</f>
        <v>0</v>
      </c>
      <c r="BF48" s="89">
        <f>(Z48/(Y48+O48)-1)-VLOOKUP(BF$3,'Returns &amp; Bonus'!$A$5:$B$15,2,0)</f>
        <v>0</v>
      </c>
      <c r="BG48" s="89">
        <f>(AA48/(Z48+P48)-1)-VLOOKUP(BG$3,'Returns &amp; Bonus'!$A$5:$B$15,2,0)</f>
        <v>0</v>
      </c>
      <c r="BH48" s="89">
        <f>(AB48/(AA48+Q48)-1)-VLOOKUP(BH$3,'Returns &amp; Bonus'!$A$5:$B$15,2,0)</f>
        <v>0</v>
      </c>
    </row>
    <row r="49" spans="1:60" x14ac:dyDescent="0.25">
      <c r="A49" s="77">
        <f>'Amended Data'!A49</f>
        <v>46</v>
      </c>
      <c r="B49" s="75">
        <f>'Amended Data'!K49</f>
        <v>41640</v>
      </c>
      <c r="C49" s="55">
        <f>'Amended Data'!J49</f>
        <v>3898</v>
      </c>
      <c r="D49" s="56">
        <f>'Amended Data'!L49</f>
        <v>10</v>
      </c>
      <c r="E49" s="57">
        <f>'Amended Data'!M49</f>
        <v>4508.244999999999</v>
      </c>
      <c r="F49" s="57" t="str">
        <f>'Data &amp; Formulae'!H57</f>
        <v>Y</v>
      </c>
      <c r="G49" s="57">
        <f t="shared" si="21"/>
        <v>0</v>
      </c>
      <c r="H49" s="57">
        <f t="shared" si="21"/>
        <v>0</v>
      </c>
      <c r="I49" s="57">
        <f t="shared" si="21"/>
        <v>0</v>
      </c>
      <c r="J49" s="57">
        <f t="shared" si="21"/>
        <v>0</v>
      </c>
      <c r="K49" s="57">
        <f t="shared" si="21"/>
        <v>3898</v>
      </c>
      <c r="L49" s="57">
        <f t="shared" si="21"/>
        <v>3898</v>
      </c>
      <c r="M49" s="57">
        <f t="shared" si="21"/>
        <v>3898</v>
      </c>
      <c r="N49" s="57">
        <f t="shared" si="21"/>
        <v>3898</v>
      </c>
      <c r="O49" s="57">
        <f t="shared" si="21"/>
        <v>3898</v>
      </c>
      <c r="P49" s="57">
        <f t="shared" si="21"/>
        <v>3898</v>
      </c>
      <c r="Q49" s="57">
        <f t="shared" si="21"/>
        <v>3898</v>
      </c>
      <c r="R49" s="57">
        <f>IF(R$3=2010,G49*(1+VLOOKUP(R$3,'Returns &amp; Bonus'!$A$5:$B$15,2,0)),(G49+Q49)*(1+VLOOKUP(R$3,'Returns &amp; Bonus'!$A$5:$B$15,2,0)))</f>
        <v>0</v>
      </c>
      <c r="S49" s="57">
        <f>IF(S$3=2010,H49*(1+VLOOKUP(S$3,'Returns &amp; Bonus'!$A$5:$B$15,2,0)),(H49+R49)*(1+VLOOKUP(S$3,'Returns &amp; Bonus'!$A$5:$B$15,2,0)))</f>
        <v>0</v>
      </c>
      <c r="T49" s="57">
        <f>IF(T$3=2010,I49*(1+VLOOKUP(T$3,'Returns &amp; Bonus'!$A$5:$B$15,2,0)),(I49+S49)*(1+VLOOKUP(T$3,'Returns &amp; Bonus'!$A$5:$B$15,2,0)))</f>
        <v>0</v>
      </c>
      <c r="U49" s="57">
        <f>IF(U$3=2010,J49*(1+VLOOKUP(U$3,'Returns &amp; Bonus'!$A$5:$B$15,2,0)),(J49+T49)*(1+VLOOKUP(U$3,'Returns &amp; Bonus'!$A$5:$B$15,2,0)))</f>
        <v>0</v>
      </c>
      <c r="V49" s="57">
        <f>IF(V$3=2010,K49*(1+VLOOKUP(V$3,'Returns &amp; Bonus'!$A$5:$B$15,2,0)),(K49+U49)*(1+VLOOKUP(V$3,'Returns &amp; Bonus'!$A$5:$B$15,2,0)))</f>
        <v>3859.02</v>
      </c>
      <c r="W49" s="57">
        <f>IF(W$3=2010,L49*(1+VLOOKUP(W$3,'Returns &amp; Bonus'!$A$5:$B$15,2,0)),(L49+V49)*(1+VLOOKUP(W$3,'Returns &amp; Bonus'!$A$5:$B$15,2,0)))</f>
        <v>10006.5558</v>
      </c>
      <c r="X49" s="57">
        <f>IF(X$3=2010,M49*(1+VLOOKUP(X$3,'Returns &amp; Bonus'!$A$5:$B$15,2,0)),(M49+W49)*(1+VLOOKUP(X$3,'Returns &amp; Bonus'!$A$5:$B$15,2,0)))</f>
        <v>13626.464684</v>
      </c>
      <c r="Y49" s="57">
        <f>IF(Y$3=2010,N49*(1+VLOOKUP(Y$3,'Returns &amp; Bonus'!$A$5:$B$15,2,0)),(N49+X49)*(1+VLOOKUP(Y$3,'Returns &amp; Bonus'!$A$5:$B$15,2,0)))</f>
        <v>16648.241449799996</v>
      </c>
      <c r="Z49" s="57">
        <f>IF(Z$3=2010,O49*(1+VLOOKUP(Z$3,'Returns &amp; Bonus'!$A$5:$B$15,2,0)),(O49+Y49)*(1+VLOOKUP(Z$3,'Returns &amp; Bonus'!$A$5:$B$15,2,0)))</f>
        <v>23217.252838273995</v>
      </c>
      <c r="AA49" s="57">
        <f>IF(AA$3=2010,P49*(1+VLOOKUP(AA$3,'Returns &amp; Bonus'!$A$5:$B$15,2,0)),(P49+Z49)*(1+VLOOKUP(AA$3,'Returns &amp; Bonus'!$A$5:$B$15,2,0)))</f>
        <v>30097.930650484137</v>
      </c>
      <c r="AB49" s="81">
        <f>IF(AB$3=2010,Q49*(1+VLOOKUP(AB$3,'Returns &amp; Bonus'!$A$5:$B$15,2,0)),(Q49+AA49)*(1+VLOOKUP(AB$3,'Returns &amp; Bonus'!$A$5:$B$15,2,0)))</f>
        <v>33316.012037474451</v>
      </c>
      <c r="AC49" s="85"/>
      <c r="AD49" s="58">
        <f t="shared" si="15"/>
        <v>28807.767037474452</v>
      </c>
      <c r="AE49" s="58">
        <f t="shared" si="16"/>
        <v>0</v>
      </c>
      <c r="AF49" s="58">
        <f t="shared" si="9"/>
        <v>4508.244999999999</v>
      </c>
      <c r="AG49" s="58">
        <f t="shared" si="10"/>
        <v>28807.767037474452</v>
      </c>
      <c r="AH49" s="55">
        <f>IF(VLOOKUP(A49,'Data &amp; Formulae'!$A$11:$F$91,6,0)="Y",BonusFundProp*AF49*VLOOKUP(YEAR(B49),'Returns &amp; Bonus'!$G$4:$I$15,3,0),0)</f>
        <v>969.27267499999982</v>
      </c>
      <c r="AI49" s="55">
        <f>IF(VLOOKUP(A49,'Data &amp; Formulae'!$A$11:$F$91,6,0)="Y",ClaimFundProp*AF49+AH49,0)</f>
        <v>4575.8686749999997</v>
      </c>
      <c r="AJ49" s="55">
        <f t="shared" si="17"/>
        <v>4575.8686749999997</v>
      </c>
      <c r="AK49" s="55">
        <f t="shared" si="11"/>
        <v>-67.623675000000731</v>
      </c>
      <c r="AL49" s="60"/>
      <c r="AM49" s="71">
        <f t="shared" si="18"/>
        <v>4575.8686749999997</v>
      </c>
      <c r="AN49" s="55">
        <f t="shared" si="12"/>
        <v>-67.623675000000731</v>
      </c>
      <c r="AO49" s="60"/>
      <c r="AP49" s="71">
        <f>IF(VLOOKUP(A49,'Data &amp; Formulae'!$A$11:$F$91,6,0)="Y",Scen2Bonus*AF49,0)</f>
        <v>946.73144999999977</v>
      </c>
      <c r="AQ49" s="55">
        <f>IF(VLOOKUP(A49,'Data &amp; Formulae'!$A$11:$F$91,6,0)="Y",ClaimFundProp*AF49+AP49,0)</f>
        <v>4553.3274499999989</v>
      </c>
      <c r="AR49" s="55">
        <f t="shared" si="19"/>
        <v>4553.3274499999989</v>
      </c>
      <c r="AS49" s="55">
        <f t="shared" si="13"/>
        <v>-45.082449999999881</v>
      </c>
      <c r="AT49" s="60"/>
      <c r="AU49" s="71">
        <f>IF(VLOOKUP(A49,'Data &amp; Formulae'!$A$11:$F$91,6,0)="Y",SurrPay*AF49,0)</f>
        <v>112.70612499999999</v>
      </c>
      <c r="AV49" s="73"/>
      <c r="AX49" s="4" t="b">
        <f t="shared" si="20"/>
        <v>1</v>
      </c>
      <c r="AY49" s="89" t="e">
        <f>(S49/(R49+H49)-1)-VLOOKUP(AY$3,'Returns &amp; Bonus'!$A$5:$B$15,2,0)</f>
        <v>#DIV/0!</v>
      </c>
      <c r="AZ49" s="89" t="e">
        <f>(T49/(S49+I49)-1)-VLOOKUP(AZ$3,'Returns &amp; Bonus'!$A$5:$B$15,2,0)</f>
        <v>#DIV/0!</v>
      </c>
      <c r="BA49" s="89" t="e">
        <f>(U49/(T49+J49)-1)-VLOOKUP(BA$3,'Returns &amp; Bonus'!$A$5:$B$15,2,0)</f>
        <v>#DIV/0!</v>
      </c>
      <c r="BB49" s="89">
        <f>(V49/(U49+K49)-1)-VLOOKUP(BB$3,'Returns &amp; Bonus'!$A$5:$B$15,2,0)</f>
        <v>0</v>
      </c>
      <c r="BC49" s="89">
        <f>(W49/(V49+L49)-1)-VLOOKUP(BC$3,'Returns &amp; Bonus'!$A$5:$B$15,2,0)</f>
        <v>0</v>
      </c>
      <c r="BD49" s="89">
        <f>(X49/(W49+M49)-1)-VLOOKUP(BD$3,'Returns &amp; Bonus'!$A$5:$B$15,2,0)</f>
        <v>0</v>
      </c>
      <c r="BE49" s="89">
        <f>(Y49/(X49+N49)-1)-VLOOKUP(BE$3,'Returns &amp; Bonus'!$A$5:$B$15,2,0)</f>
        <v>-1.5265566588595902E-16</v>
      </c>
      <c r="BF49" s="89">
        <f>(Z49/(Y49+O49)-1)-VLOOKUP(BF$3,'Returns &amp; Bonus'!$A$5:$B$15,2,0)</f>
        <v>0</v>
      </c>
      <c r="BG49" s="89">
        <f>(AA49/(Z49+P49)-1)-VLOOKUP(BG$3,'Returns &amp; Bonus'!$A$5:$B$15,2,0)</f>
        <v>0</v>
      </c>
      <c r="BH49" s="89">
        <f>(AB49/(AA49+Q49)-1)-VLOOKUP(BH$3,'Returns &amp; Bonus'!$A$5:$B$15,2,0)</f>
        <v>-1.2836953722228372E-16</v>
      </c>
    </row>
    <row r="50" spans="1:60" x14ac:dyDescent="0.25">
      <c r="A50" s="77">
        <f>'Amended Data'!A50</f>
        <v>47</v>
      </c>
      <c r="B50" s="75">
        <f>'Amended Data'!K50</f>
        <v>41640</v>
      </c>
      <c r="C50" s="55">
        <f>'Amended Data'!J50</f>
        <v>1319</v>
      </c>
      <c r="D50" s="56">
        <f>'Amended Data'!L50</f>
        <v>26</v>
      </c>
      <c r="E50" s="57">
        <f>'Amended Data'!M50</f>
        <v>3929.0649999999996</v>
      </c>
      <c r="F50" s="57" t="str">
        <f>'Data &amp; Formulae'!H58</f>
        <v>Y</v>
      </c>
      <c r="G50" s="57">
        <f t="shared" si="21"/>
        <v>0</v>
      </c>
      <c r="H50" s="57">
        <f t="shared" si="21"/>
        <v>0</v>
      </c>
      <c r="I50" s="57">
        <f t="shared" si="21"/>
        <v>0</v>
      </c>
      <c r="J50" s="57">
        <f t="shared" si="21"/>
        <v>0</v>
      </c>
      <c r="K50" s="57">
        <f t="shared" si="21"/>
        <v>1319</v>
      </c>
      <c r="L50" s="57">
        <f t="shared" si="21"/>
        <v>1319</v>
      </c>
      <c r="M50" s="57">
        <f t="shared" si="21"/>
        <v>1319</v>
      </c>
      <c r="N50" s="57">
        <f t="shared" si="21"/>
        <v>1319</v>
      </c>
      <c r="O50" s="57">
        <f t="shared" si="21"/>
        <v>1319</v>
      </c>
      <c r="P50" s="57">
        <f t="shared" si="21"/>
        <v>1319</v>
      </c>
      <c r="Q50" s="57">
        <f t="shared" si="21"/>
        <v>1319</v>
      </c>
      <c r="R50" s="57">
        <f>IF(R$3=2010,G50*(1+VLOOKUP(R$3,'Returns &amp; Bonus'!$A$5:$B$15,2,0)),(G50+Q50)*(1+VLOOKUP(R$3,'Returns &amp; Bonus'!$A$5:$B$15,2,0)))</f>
        <v>0</v>
      </c>
      <c r="S50" s="57">
        <f>IF(S$3=2010,H50*(1+VLOOKUP(S$3,'Returns &amp; Bonus'!$A$5:$B$15,2,0)),(H50+R50)*(1+VLOOKUP(S$3,'Returns &amp; Bonus'!$A$5:$B$15,2,0)))</f>
        <v>0</v>
      </c>
      <c r="T50" s="57">
        <f>IF(T$3=2010,I50*(1+VLOOKUP(T$3,'Returns &amp; Bonus'!$A$5:$B$15,2,0)),(I50+S50)*(1+VLOOKUP(T$3,'Returns &amp; Bonus'!$A$5:$B$15,2,0)))</f>
        <v>0</v>
      </c>
      <c r="U50" s="57">
        <f>IF(U$3=2010,J50*(1+VLOOKUP(U$3,'Returns &amp; Bonus'!$A$5:$B$15,2,0)),(J50+T50)*(1+VLOOKUP(U$3,'Returns &amp; Bonus'!$A$5:$B$15,2,0)))</f>
        <v>0</v>
      </c>
      <c r="V50" s="57">
        <f>IF(V$3=2010,K50*(1+VLOOKUP(V$3,'Returns &amp; Bonus'!$A$5:$B$15,2,0)),(K50+U50)*(1+VLOOKUP(V$3,'Returns &amp; Bonus'!$A$5:$B$15,2,0)))</f>
        <v>1305.81</v>
      </c>
      <c r="W50" s="57">
        <f>IF(W$3=2010,L50*(1+VLOOKUP(W$3,'Returns &amp; Bonus'!$A$5:$B$15,2,0)),(L50+V50)*(1+VLOOKUP(W$3,'Returns &amp; Bonus'!$A$5:$B$15,2,0)))</f>
        <v>3386.0048999999999</v>
      </c>
      <c r="X50" s="57">
        <f>IF(X$3=2010,M50*(1+VLOOKUP(X$3,'Returns &amp; Bonus'!$A$5:$B$15,2,0)),(M50+W50)*(1+VLOOKUP(X$3,'Returns &amp; Bonus'!$A$5:$B$15,2,0)))</f>
        <v>4610.904802</v>
      </c>
      <c r="Y50" s="57">
        <f>IF(Y$3=2010,N50*(1+VLOOKUP(Y$3,'Returns &amp; Bonus'!$A$5:$B$15,2,0)),(N50+X50)*(1+VLOOKUP(Y$3,'Returns &amp; Bonus'!$A$5:$B$15,2,0)))</f>
        <v>5633.4095619</v>
      </c>
      <c r="Z50" s="57">
        <f>IF(Z$3=2010,O50*(1+VLOOKUP(Z$3,'Returns &amp; Bonus'!$A$5:$B$15,2,0)),(O50+Y50)*(1+VLOOKUP(Z$3,'Returns &amp; Bonus'!$A$5:$B$15,2,0)))</f>
        <v>7856.2228049469995</v>
      </c>
      <c r="AA50" s="57">
        <f>IF(AA$3=2010,P50*(1+VLOOKUP(AA$3,'Returns &amp; Bonus'!$A$5:$B$15,2,0)),(P50+Z50)*(1+VLOOKUP(AA$3,'Returns &amp; Bonus'!$A$5:$B$15,2,0)))</f>
        <v>10184.497313491171</v>
      </c>
      <c r="AB50" s="81">
        <f>IF(AB$3=2010,Q50*(1+VLOOKUP(AB$3,'Returns &amp; Bonus'!$A$5:$B$15,2,0)),(Q50+AA50)*(1+VLOOKUP(AB$3,'Returns &amp; Bonus'!$A$5:$B$15,2,0)))</f>
        <v>11273.427367221348</v>
      </c>
      <c r="AC50" s="85"/>
      <c r="AD50" s="58">
        <f t="shared" si="15"/>
        <v>7344.362367221348</v>
      </c>
      <c r="AE50" s="58">
        <f t="shared" si="16"/>
        <v>0</v>
      </c>
      <c r="AF50" s="58">
        <f t="shared" si="9"/>
        <v>3929.0649999999996</v>
      </c>
      <c r="AG50" s="58">
        <f t="shared" si="10"/>
        <v>7344.362367221348</v>
      </c>
      <c r="AH50" s="55">
        <f>IF(VLOOKUP(A50,'Data &amp; Formulae'!$A$11:$F$91,6,0)="Y",BonusFundProp*AF50*VLOOKUP(YEAR(B50),'Returns &amp; Bonus'!$G$4:$I$15,3,0),0)</f>
        <v>844.74897499999997</v>
      </c>
      <c r="AI50" s="55">
        <f>IF(VLOOKUP(A50,'Data &amp; Formulae'!$A$11:$F$91,6,0)="Y",ClaimFundProp*AF50+AH50,0)</f>
        <v>3988.0009749999999</v>
      </c>
      <c r="AJ50" s="55">
        <f t="shared" si="17"/>
        <v>3988.0009749999999</v>
      </c>
      <c r="AK50" s="55">
        <f t="shared" si="11"/>
        <v>-58.935975000000326</v>
      </c>
      <c r="AL50" s="60"/>
      <c r="AM50" s="71">
        <f t="shared" si="18"/>
        <v>3988.0009749999999</v>
      </c>
      <c r="AN50" s="55">
        <f t="shared" si="12"/>
        <v>-58.935975000000326</v>
      </c>
      <c r="AO50" s="60"/>
      <c r="AP50" s="71">
        <f>IF(VLOOKUP(A50,'Data &amp; Formulae'!$A$11:$F$91,6,0)="Y",Scen2Bonus*AF50,0)</f>
        <v>825.1036499999999</v>
      </c>
      <c r="AQ50" s="55">
        <f>IF(VLOOKUP(A50,'Data &amp; Formulae'!$A$11:$F$91,6,0)="Y",ClaimFundProp*AF50+AP50,0)</f>
        <v>3968.35565</v>
      </c>
      <c r="AR50" s="55">
        <f t="shared" si="19"/>
        <v>3968.35565</v>
      </c>
      <c r="AS50" s="55">
        <f t="shared" si="13"/>
        <v>-39.290650000000369</v>
      </c>
      <c r="AT50" s="60"/>
      <c r="AU50" s="71">
        <f>IF(VLOOKUP(A50,'Data &amp; Formulae'!$A$11:$F$91,6,0)="Y",SurrPay*AF50,0)</f>
        <v>98.226624999999999</v>
      </c>
      <c r="AV50" s="73"/>
      <c r="AX50" s="4" t="b">
        <f t="shared" si="20"/>
        <v>1</v>
      </c>
      <c r="AY50" s="89" t="e">
        <f>(S50/(R50+H50)-1)-VLOOKUP(AY$3,'Returns &amp; Bonus'!$A$5:$B$15,2,0)</f>
        <v>#DIV/0!</v>
      </c>
      <c r="AZ50" s="89" t="e">
        <f>(T50/(S50+I50)-1)-VLOOKUP(AZ$3,'Returns &amp; Bonus'!$A$5:$B$15,2,0)</f>
        <v>#DIV/0!</v>
      </c>
      <c r="BA50" s="89" t="e">
        <f>(U50/(T50+J50)-1)-VLOOKUP(BA$3,'Returns &amp; Bonus'!$A$5:$B$15,2,0)</f>
        <v>#DIV/0!</v>
      </c>
      <c r="BB50" s="89">
        <f>(V50/(U50+K50)-1)-VLOOKUP(BB$3,'Returns &amp; Bonus'!$A$5:$B$15,2,0)</f>
        <v>0</v>
      </c>
      <c r="BC50" s="89">
        <f>(W50/(V50+L50)-1)-VLOOKUP(BC$3,'Returns &amp; Bonus'!$A$5:$B$15,2,0)</f>
        <v>0</v>
      </c>
      <c r="BD50" s="89">
        <f>(X50/(W50+M50)-1)-VLOOKUP(BD$3,'Returns &amp; Bonus'!$A$5:$B$15,2,0)</f>
        <v>0</v>
      </c>
      <c r="BE50" s="89">
        <f>(Y50/(X50+N50)-1)-VLOOKUP(BE$3,'Returns &amp; Bonus'!$A$5:$B$15,2,0)</f>
        <v>0</v>
      </c>
      <c r="BF50" s="89">
        <f>(Z50/(Y50+O50)-1)-VLOOKUP(BF$3,'Returns &amp; Bonus'!$A$5:$B$15,2,0)</f>
        <v>0</v>
      </c>
      <c r="BG50" s="89">
        <f>(AA50/(Z50+P50)-1)-VLOOKUP(BG$3,'Returns &amp; Bonus'!$A$5:$B$15,2,0)</f>
        <v>0</v>
      </c>
      <c r="BH50" s="89">
        <f>(AB50/(AA50+Q50)-1)-VLOOKUP(BH$3,'Returns &amp; Bonus'!$A$5:$B$15,2,0)</f>
        <v>0</v>
      </c>
    </row>
    <row r="51" spans="1:60" x14ac:dyDescent="0.25">
      <c r="A51" s="77">
        <f>'Amended Data'!A51</f>
        <v>48</v>
      </c>
      <c r="B51" s="75">
        <f>'Amended Data'!K51</f>
        <v>41640</v>
      </c>
      <c r="C51" s="55">
        <f>'Amended Data'!J51</f>
        <v>9369</v>
      </c>
      <c r="D51" s="56">
        <f>'Amended Data'!L51</f>
        <v>20</v>
      </c>
      <c r="E51" s="57">
        <f>'Amended Data'!M51</f>
        <v>80076.376803257604</v>
      </c>
      <c r="F51" s="57" t="str">
        <f>'Data &amp; Formulae'!H59</f>
        <v>N</v>
      </c>
      <c r="G51" s="57">
        <f t="shared" si="21"/>
        <v>0</v>
      </c>
      <c r="H51" s="57">
        <f t="shared" si="21"/>
        <v>0</v>
      </c>
      <c r="I51" s="57">
        <f t="shared" si="21"/>
        <v>0</v>
      </c>
      <c r="J51" s="57">
        <f t="shared" si="21"/>
        <v>0</v>
      </c>
      <c r="K51" s="57">
        <f t="shared" si="21"/>
        <v>9369</v>
      </c>
      <c r="L51" s="57">
        <f t="shared" si="21"/>
        <v>9369</v>
      </c>
      <c r="M51" s="57">
        <f t="shared" si="21"/>
        <v>9369</v>
      </c>
      <c r="N51" s="57">
        <f t="shared" si="21"/>
        <v>9369</v>
      </c>
      <c r="O51" s="57">
        <f t="shared" si="21"/>
        <v>9369</v>
      </c>
      <c r="P51" s="57">
        <f t="shared" si="21"/>
        <v>9369</v>
      </c>
      <c r="Q51" s="57">
        <f t="shared" si="21"/>
        <v>9369</v>
      </c>
      <c r="R51" s="57">
        <f>IF(R$3=2010,G51*(1+VLOOKUP(R$3,'Returns &amp; Bonus'!$A$5:$B$15,2,0)),(G51+Q51)*(1+VLOOKUP(R$3,'Returns &amp; Bonus'!$A$5:$B$15,2,0)))</f>
        <v>0</v>
      </c>
      <c r="S51" s="57">
        <f>IF(S$3=2010,H51*(1+VLOOKUP(S$3,'Returns &amp; Bonus'!$A$5:$B$15,2,0)),(H51+R51)*(1+VLOOKUP(S$3,'Returns &amp; Bonus'!$A$5:$B$15,2,0)))</f>
        <v>0</v>
      </c>
      <c r="T51" s="57">
        <f>IF(T$3=2010,I51*(1+VLOOKUP(T$3,'Returns &amp; Bonus'!$A$5:$B$15,2,0)),(I51+S51)*(1+VLOOKUP(T$3,'Returns &amp; Bonus'!$A$5:$B$15,2,0)))</f>
        <v>0</v>
      </c>
      <c r="U51" s="57">
        <f>IF(U$3=2010,J51*(1+VLOOKUP(U$3,'Returns &amp; Bonus'!$A$5:$B$15,2,0)),(J51+T51)*(1+VLOOKUP(U$3,'Returns &amp; Bonus'!$A$5:$B$15,2,0)))</f>
        <v>0</v>
      </c>
      <c r="V51" s="57">
        <f>IF(V$3=2010,K51*(1+VLOOKUP(V$3,'Returns &amp; Bonus'!$A$5:$B$15,2,0)),(K51+U51)*(1+VLOOKUP(V$3,'Returns &amp; Bonus'!$A$5:$B$15,2,0)))</f>
        <v>9275.31</v>
      </c>
      <c r="W51" s="57">
        <f>IF(W$3=2010,L51*(1+VLOOKUP(W$3,'Returns &amp; Bonus'!$A$5:$B$15,2,0)),(L51+V51)*(1+VLOOKUP(W$3,'Returns &amp; Bonus'!$A$5:$B$15,2,0)))</f>
        <v>24051.159899999999</v>
      </c>
      <c r="X51" s="57">
        <f>IF(X$3=2010,M51*(1+VLOOKUP(X$3,'Returns &amp; Bonus'!$A$5:$B$15,2,0)),(M51+W51)*(1+VLOOKUP(X$3,'Returns &amp; Bonus'!$A$5:$B$15,2,0)))</f>
        <v>32751.756701999999</v>
      </c>
      <c r="Y51" s="57">
        <f>IF(Y$3=2010,N51*(1+VLOOKUP(Y$3,'Returns &amp; Bonus'!$A$5:$B$15,2,0)),(N51+X51)*(1+VLOOKUP(Y$3,'Returns &amp; Bonus'!$A$5:$B$15,2,0)))</f>
        <v>40014.718866899995</v>
      </c>
      <c r="Z51" s="57">
        <f>IF(Z$3=2010,O51*(1+VLOOKUP(Z$3,'Returns &amp; Bonus'!$A$5:$B$15,2,0)),(O51+Y51)*(1+VLOOKUP(Z$3,'Returns &amp; Bonus'!$A$5:$B$15,2,0)))</f>
        <v>55803.60231959699</v>
      </c>
      <c r="AA51" s="57">
        <f>IF(AA$3=2010,P51*(1+VLOOKUP(AA$3,'Returns &amp; Bonus'!$A$5:$B$15,2,0)),(P51+Z51)*(1+VLOOKUP(AA$3,'Returns &amp; Bonus'!$A$5:$B$15,2,0)))</f>
        <v>72341.588574752663</v>
      </c>
      <c r="AB51" s="81">
        <f>IF(AB$3=2010,Q51*(1+VLOOKUP(AB$3,'Returns &amp; Bonus'!$A$5:$B$15,2,0)),(Q51+AA51)*(1+VLOOKUP(AB$3,'Returns &amp; Bonus'!$A$5:$B$15,2,0)))</f>
        <v>80076.376803257604</v>
      </c>
      <c r="AC51" s="85"/>
      <c r="AD51" s="58">
        <f t="shared" si="15"/>
        <v>0</v>
      </c>
      <c r="AE51" s="58">
        <f t="shared" si="16"/>
        <v>0</v>
      </c>
      <c r="AF51" s="58">
        <f t="shared" si="9"/>
        <v>80076.376803257604</v>
      </c>
      <c r="AG51" s="58">
        <f t="shared" si="10"/>
        <v>0</v>
      </c>
      <c r="AH51" s="55">
        <f>IF(VLOOKUP(A51,'Data &amp; Formulae'!$A$11:$F$91,6,0)="Y",BonusFundProp*AF51*VLOOKUP(YEAR(B51),'Returns &amp; Bonus'!$G$4:$I$15,3,0),0)</f>
        <v>0</v>
      </c>
      <c r="AI51" s="55">
        <f>IF(VLOOKUP(A51,'Data &amp; Formulae'!$A$11:$F$91,6,0)="Y",ClaimFundProp*AF51+AH51,0)</f>
        <v>0</v>
      </c>
      <c r="AJ51" s="55">
        <f t="shared" si="17"/>
        <v>0</v>
      </c>
      <c r="AK51" s="55">
        <f t="shared" si="11"/>
        <v>0</v>
      </c>
      <c r="AL51" s="60"/>
      <c r="AM51" s="71">
        <f t="shared" si="18"/>
        <v>0</v>
      </c>
      <c r="AN51" s="55">
        <f t="shared" si="12"/>
        <v>0</v>
      </c>
      <c r="AO51" s="60"/>
      <c r="AP51" s="71">
        <f>IF(VLOOKUP(A51,'Data &amp; Formulae'!$A$11:$F$91,6,0)="Y",Scen2Bonus*AF51,0)</f>
        <v>0</v>
      </c>
      <c r="AQ51" s="55">
        <f>IF(VLOOKUP(A51,'Data &amp; Formulae'!$A$11:$F$91,6,0)="Y",ClaimFundProp*AF51+AP51,0)</f>
        <v>0</v>
      </c>
      <c r="AR51" s="55">
        <f t="shared" si="19"/>
        <v>0</v>
      </c>
      <c r="AS51" s="55">
        <f t="shared" si="13"/>
        <v>0</v>
      </c>
      <c r="AT51" s="60"/>
      <c r="AU51" s="71">
        <f>IF(VLOOKUP(A51,'Data &amp; Formulae'!$A$11:$F$91,6,0)="Y",SurrPay*AF51,0)</f>
        <v>0</v>
      </c>
      <c r="AV51" s="73"/>
      <c r="AX51" s="4" t="b">
        <f t="shared" si="20"/>
        <v>1</v>
      </c>
      <c r="AY51" s="89" t="e">
        <f>(S51/(R51+H51)-1)-VLOOKUP(AY$3,'Returns &amp; Bonus'!$A$5:$B$15,2,0)</f>
        <v>#DIV/0!</v>
      </c>
      <c r="AZ51" s="89" t="e">
        <f>(T51/(S51+I51)-1)-VLOOKUP(AZ$3,'Returns &amp; Bonus'!$A$5:$B$15,2,0)</f>
        <v>#DIV/0!</v>
      </c>
      <c r="BA51" s="89" t="e">
        <f>(U51/(T51+J51)-1)-VLOOKUP(BA$3,'Returns &amp; Bonus'!$A$5:$B$15,2,0)</f>
        <v>#DIV/0!</v>
      </c>
      <c r="BB51" s="89">
        <f>(V51/(U51+K51)-1)-VLOOKUP(BB$3,'Returns &amp; Bonus'!$A$5:$B$15,2,0)</f>
        <v>0</v>
      </c>
      <c r="BC51" s="89">
        <f>(W51/(V51+L51)-1)-VLOOKUP(BC$3,'Returns &amp; Bonus'!$A$5:$B$15,2,0)</f>
        <v>0</v>
      </c>
      <c r="BD51" s="89">
        <f>(X51/(W51+M51)-1)-VLOOKUP(BD$3,'Returns &amp; Bonus'!$A$5:$B$15,2,0)</f>
        <v>0</v>
      </c>
      <c r="BE51" s="89">
        <f>(Y51/(X51+N51)-1)-VLOOKUP(BE$3,'Returns &amp; Bonus'!$A$5:$B$15,2,0)</f>
        <v>0</v>
      </c>
      <c r="BF51" s="89">
        <f>(Z51/(Y51+O51)-1)-VLOOKUP(BF$3,'Returns &amp; Bonus'!$A$5:$B$15,2,0)</f>
        <v>0</v>
      </c>
      <c r="BG51" s="89">
        <f>(AA51/(Z51+P51)-1)-VLOOKUP(BG$3,'Returns &amp; Bonus'!$A$5:$B$15,2,0)</f>
        <v>0</v>
      </c>
      <c r="BH51" s="89">
        <f>(AB51/(AA51+Q51)-1)-VLOOKUP(BH$3,'Returns &amp; Bonus'!$A$5:$B$15,2,0)</f>
        <v>0</v>
      </c>
    </row>
    <row r="52" spans="1:60" x14ac:dyDescent="0.25">
      <c r="A52" s="77">
        <f>'Amended Data'!A52</f>
        <v>49</v>
      </c>
      <c r="B52" s="75">
        <f>'Amended Data'!K52</f>
        <v>41640</v>
      </c>
      <c r="C52" s="55">
        <f>'Amended Data'!J52</f>
        <v>9095</v>
      </c>
      <c r="D52" s="56">
        <f>'Amended Data'!L52</f>
        <v>30</v>
      </c>
      <c r="E52" s="57">
        <f>'Amended Data'!M52</f>
        <v>16680.579999999998</v>
      </c>
      <c r="F52" s="57" t="str">
        <f>'Data &amp; Formulae'!H60</f>
        <v>Y</v>
      </c>
      <c r="G52" s="57">
        <f t="shared" si="21"/>
        <v>0</v>
      </c>
      <c r="H52" s="57">
        <f t="shared" si="21"/>
        <v>0</v>
      </c>
      <c r="I52" s="57">
        <f t="shared" si="21"/>
        <v>0</v>
      </c>
      <c r="J52" s="57">
        <f t="shared" si="21"/>
        <v>0</v>
      </c>
      <c r="K52" s="57">
        <f t="shared" si="21"/>
        <v>9095</v>
      </c>
      <c r="L52" s="57">
        <f t="shared" si="21"/>
        <v>9095</v>
      </c>
      <c r="M52" s="57">
        <f t="shared" si="21"/>
        <v>9095</v>
      </c>
      <c r="N52" s="57">
        <f t="shared" si="21"/>
        <v>9095</v>
      </c>
      <c r="O52" s="57">
        <f t="shared" si="21"/>
        <v>9095</v>
      </c>
      <c r="P52" s="57">
        <f t="shared" si="21"/>
        <v>9095</v>
      </c>
      <c r="Q52" s="57">
        <f t="shared" si="21"/>
        <v>9095</v>
      </c>
      <c r="R52" s="57">
        <f>IF(R$3=2010,G52*(1+VLOOKUP(R$3,'Returns &amp; Bonus'!$A$5:$B$15,2,0)),(G52+Q52)*(1+VLOOKUP(R$3,'Returns &amp; Bonus'!$A$5:$B$15,2,0)))</f>
        <v>0</v>
      </c>
      <c r="S52" s="57">
        <f>IF(S$3=2010,H52*(1+VLOOKUP(S$3,'Returns &amp; Bonus'!$A$5:$B$15,2,0)),(H52+R52)*(1+VLOOKUP(S$3,'Returns &amp; Bonus'!$A$5:$B$15,2,0)))</f>
        <v>0</v>
      </c>
      <c r="T52" s="57">
        <f>IF(T$3=2010,I52*(1+VLOOKUP(T$3,'Returns &amp; Bonus'!$A$5:$B$15,2,0)),(I52+S52)*(1+VLOOKUP(T$3,'Returns &amp; Bonus'!$A$5:$B$15,2,0)))</f>
        <v>0</v>
      </c>
      <c r="U52" s="57">
        <f>IF(U$3=2010,J52*(1+VLOOKUP(U$3,'Returns &amp; Bonus'!$A$5:$B$15,2,0)),(J52+T52)*(1+VLOOKUP(U$3,'Returns &amp; Bonus'!$A$5:$B$15,2,0)))</f>
        <v>0</v>
      </c>
      <c r="V52" s="57">
        <f>IF(V$3=2010,K52*(1+VLOOKUP(V$3,'Returns &amp; Bonus'!$A$5:$B$15,2,0)),(K52+U52)*(1+VLOOKUP(V$3,'Returns &amp; Bonus'!$A$5:$B$15,2,0)))</f>
        <v>9004.0499999999993</v>
      </c>
      <c r="W52" s="57">
        <f>IF(W$3=2010,L52*(1+VLOOKUP(W$3,'Returns &amp; Bonus'!$A$5:$B$15,2,0)),(L52+V52)*(1+VLOOKUP(W$3,'Returns &amp; Bonus'!$A$5:$B$15,2,0)))</f>
        <v>23347.7745</v>
      </c>
      <c r="X52" s="57">
        <f>IF(X$3=2010,M52*(1+VLOOKUP(X$3,'Returns &amp; Bonus'!$A$5:$B$15,2,0)),(M52+W52)*(1+VLOOKUP(X$3,'Returns &amp; Bonus'!$A$5:$B$15,2,0)))</f>
        <v>31793.919009999998</v>
      </c>
      <c r="Y52" s="57">
        <f>IF(Y$3=2010,N52*(1+VLOOKUP(Y$3,'Returns &amp; Bonus'!$A$5:$B$15,2,0)),(N52+X52)*(1+VLOOKUP(Y$3,'Returns &amp; Bonus'!$A$5:$B$15,2,0)))</f>
        <v>38844.473059499993</v>
      </c>
      <c r="Z52" s="57">
        <f>IF(Z$3=2010,O52*(1+VLOOKUP(Z$3,'Returns &amp; Bonus'!$A$5:$B$15,2,0)),(O52+Y52)*(1+VLOOKUP(Z$3,'Returns &amp; Bonus'!$A$5:$B$15,2,0)))</f>
        <v>54171.60455723499</v>
      </c>
      <c r="AA52" s="57">
        <f>IF(AA$3=2010,P52*(1+VLOOKUP(AA$3,'Returns &amp; Bonus'!$A$5:$B$15,2,0)),(P52+Z52)*(1+VLOOKUP(AA$3,'Returns &amp; Bonus'!$A$5:$B$15,2,0)))</f>
        <v>70225.931058530841</v>
      </c>
      <c r="AB52" s="81">
        <f>IF(AB$3=2010,Q52*(1+VLOOKUP(AB$3,'Returns &amp; Bonus'!$A$5:$B$15,2,0)),(Q52+AA52)*(1+VLOOKUP(AB$3,'Returns &amp; Bonus'!$A$5:$B$15,2,0)))</f>
        <v>77734.51243736023</v>
      </c>
      <c r="AC52" s="85"/>
      <c r="AD52" s="58">
        <f t="shared" si="15"/>
        <v>61053.932437360229</v>
      </c>
      <c r="AE52" s="58">
        <f t="shared" si="16"/>
        <v>0</v>
      </c>
      <c r="AF52" s="58">
        <f t="shared" si="9"/>
        <v>16680.579999999998</v>
      </c>
      <c r="AG52" s="58">
        <f t="shared" si="10"/>
        <v>61053.932437360229</v>
      </c>
      <c r="AH52" s="55">
        <f>IF(VLOOKUP(A52,'Data &amp; Formulae'!$A$11:$F$91,6,0)="Y",BonusFundProp*AF52*VLOOKUP(YEAR(B52),'Returns &amp; Bonus'!$G$4:$I$15,3,0),0)</f>
        <v>3586.3246999999997</v>
      </c>
      <c r="AI52" s="55">
        <f>IF(VLOOKUP(A52,'Data &amp; Formulae'!$A$11:$F$91,6,0)="Y",ClaimFundProp*AF52+AH52,0)</f>
        <v>16930.788700000001</v>
      </c>
      <c r="AJ52" s="55">
        <f t="shared" si="17"/>
        <v>16930.788700000001</v>
      </c>
      <c r="AK52" s="55">
        <f t="shared" si="11"/>
        <v>-250.20870000000286</v>
      </c>
      <c r="AL52" s="60"/>
      <c r="AM52" s="71">
        <f t="shared" si="18"/>
        <v>16930.788700000001</v>
      </c>
      <c r="AN52" s="55">
        <f t="shared" si="12"/>
        <v>-250.20870000000286</v>
      </c>
      <c r="AO52" s="60"/>
      <c r="AP52" s="71">
        <f>IF(VLOOKUP(A52,'Data &amp; Formulae'!$A$11:$F$91,6,0)="Y",Scen2Bonus*AF52,0)</f>
        <v>3502.9217999999996</v>
      </c>
      <c r="AQ52" s="55">
        <f>IF(VLOOKUP(A52,'Data &amp; Formulae'!$A$11:$F$91,6,0)="Y",ClaimFundProp*AF52+AP52,0)</f>
        <v>16847.3858</v>
      </c>
      <c r="AR52" s="55">
        <f t="shared" si="19"/>
        <v>16847.3858</v>
      </c>
      <c r="AS52" s="55">
        <f t="shared" si="13"/>
        <v>-166.80580000000191</v>
      </c>
      <c r="AT52" s="60"/>
      <c r="AU52" s="71">
        <f>IF(VLOOKUP(A52,'Data &amp; Formulae'!$A$11:$F$91,6,0)="Y",SurrPay*AF52,0)</f>
        <v>417.0145</v>
      </c>
      <c r="AV52" s="73"/>
      <c r="AX52" s="4" t="b">
        <f t="shared" si="20"/>
        <v>1</v>
      </c>
      <c r="AY52" s="89" t="e">
        <f>(S52/(R52+H52)-1)-VLOOKUP(AY$3,'Returns &amp; Bonus'!$A$5:$B$15,2,0)</f>
        <v>#DIV/0!</v>
      </c>
      <c r="AZ52" s="89" t="e">
        <f>(T52/(S52+I52)-1)-VLOOKUP(AZ$3,'Returns &amp; Bonus'!$A$5:$B$15,2,0)</f>
        <v>#DIV/0!</v>
      </c>
      <c r="BA52" s="89" t="e">
        <f>(U52/(T52+J52)-1)-VLOOKUP(BA$3,'Returns &amp; Bonus'!$A$5:$B$15,2,0)</f>
        <v>#DIV/0!</v>
      </c>
      <c r="BB52" s="89">
        <f>(V52/(U52+K52)-1)-VLOOKUP(BB$3,'Returns &amp; Bonus'!$A$5:$B$15,2,0)</f>
        <v>-1.1969591984239969E-16</v>
      </c>
      <c r="BC52" s="89">
        <f>(W52/(V52+L52)-1)-VLOOKUP(BC$3,'Returns &amp; Bonus'!$A$5:$B$15,2,0)</f>
        <v>0</v>
      </c>
      <c r="BD52" s="89">
        <f>(X52/(W52+M52)-1)-VLOOKUP(BD$3,'Returns &amp; Bonus'!$A$5:$B$15,2,0)</f>
        <v>0</v>
      </c>
      <c r="BE52" s="89">
        <f>(Y52/(X52+N52)-1)-VLOOKUP(BE$3,'Returns &amp; Bonus'!$A$5:$B$15,2,0)</f>
        <v>-1.5265566588595902E-16</v>
      </c>
      <c r="BF52" s="89">
        <f>(Z52/(Y52+O52)-1)-VLOOKUP(BF$3,'Returns &amp; Bonus'!$A$5:$B$15,2,0)</f>
        <v>0</v>
      </c>
      <c r="BG52" s="89">
        <f>(AA52/(Z52+P52)-1)-VLOOKUP(BG$3,'Returns &amp; Bonus'!$A$5:$B$15,2,0)</f>
        <v>0</v>
      </c>
      <c r="BH52" s="89">
        <f>(AB52/(AA52+Q52)-1)-VLOOKUP(BH$3,'Returns &amp; Bonus'!$A$5:$B$15,2,0)</f>
        <v>9.3675067702747583E-17</v>
      </c>
    </row>
    <row r="53" spans="1:60" x14ac:dyDescent="0.25">
      <c r="A53" s="77">
        <f>'Amended Data'!A53</f>
        <v>50</v>
      </c>
      <c r="B53" s="75">
        <f>'Amended Data'!K53</f>
        <v>41640</v>
      </c>
      <c r="C53" s="55">
        <f>'Amended Data'!J53</f>
        <v>8896</v>
      </c>
      <c r="D53" s="56">
        <f>'Amended Data'!L53</f>
        <v>12</v>
      </c>
      <c r="E53" s="57">
        <f>'Amended Data'!M53</f>
        <v>2682.0149999999999</v>
      </c>
      <c r="F53" s="57" t="str">
        <f>'Data &amp; Formulae'!H61</f>
        <v>Y</v>
      </c>
      <c r="G53" s="57">
        <f t="shared" ref="G53:Q68" si="22">IF(YEAR($B53)&lt;=G$3,$C53,0)</f>
        <v>0</v>
      </c>
      <c r="H53" s="57">
        <f t="shared" si="22"/>
        <v>0</v>
      </c>
      <c r="I53" s="57">
        <f t="shared" si="22"/>
        <v>0</v>
      </c>
      <c r="J53" s="57">
        <f t="shared" si="22"/>
        <v>0</v>
      </c>
      <c r="K53" s="57">
        <f t="shared" si="22"/>
        <v>8896</v>
      </c>
      <c r="L53" s="57">
        <f t="shared" si="22"/>
        <v>8896</v>
      </c>
      <c r="M53" s="57">
        <f t="shared" si="22"/>
        <v>8896</v>
      </c>
      <c r="N53" s="57">
        <f t="shared" si="22"/>
        <v>8896</v>
      </c>
      <c r="O53" s="57">
        <f t="shared" si="22"/>
        <v>8896</v>
      </c>
      <c r="P53" s="57">
        <f t="shared" si="22"/>
        <v>8896</v>
      </c>
      <c r="Q53" s="57">
        <f t="shared" si="22"/>
        <v>8896</v>
      </c>
      <c r="R53" s="57">
        <f>IF(R$3=2010,G53*(1+VLOOKUP(R$3,'Returns &amp; Bonus'!$A$5:$B$15,2,0)),(G53+Q53)*(1+VLOOKUP(R$3,'Returns &amp; Bonus'!$A$5:$B$15,2,0)))</f>
        <v>0</v>
      </c>
      <c r="S53" s="57">
        <f>IF(S$3=2010,H53*(1+VLOOKUP(S$3,'Returns &amp; Bonus'!$A$5:$B$15,2,0)),(H53+R53)*(1+VLOOKUP(S$3,'Returns &amp; Bonus'!$A$5:$B$15,2,0)))</f>
        <v>0</v>
      </c>
      <c r="T53" s="57">
        <f>IF(T$3=2010,I53*(1+VLOOKUP(T$3,'Returns &amp; Bonus'!$A$5:$B$15,2,0)),(I53+S53)*(1+VLOOKUP(T$3,'Returns &amp; Bonus'!$A$5:$B$15,2,0)))</f>
        <v>0</v>
      </c>
      <c r="U53" s="57">
        <f>IF(U$3=2010,J53*(1+VLOOKUP(U$3,'Returns &amp; Bonus'!$A$5:$B$15,2,0)),(J53+T53)*(1+VLOOKUP(U$3,'Returns &amp; Bonus'!$A$5:$B$15,2,0)))</f>
        <v>0</v>
      </c>
      <c r="V53" s="57">
        <f>IF(V$3=2010,K53*(1+VLOOKUP(V$3,'Returns &amp; Bonus'!$A$5:$B$15,2,0)),(K53+U53)*(1+VLOOKUP(V$3,'Returns &amp; Bonus'!$A$5:$B$15,2,0)))</f>
        <v>8807.0399999999991</v>
      </c>
      <c r="W53" s="57">
        <f>IF(W$3=2010,L53*(1+VLOOKUP(W$3,'Returns &amp; Bonus'!$A$5:$B$15,2,0)),(L53+V53)*(1+VLOOKUP(W$3,'Returns &amp; Bonus'!$A$5:$B$15,2,0)))</f>
        <v>22836.921600000001</v>
      </c>
      <c r="X53" s="57">
        <f>IF(X$3=2010,M53*(1+VLOOKUP(X$3,'Returns &amp; Bonus'!$A$5:$B$15,2,0)),(M53+W53)*(1+VLOOKUP(X$3,'Returns &amp; Bonus'!$A$5:$B$15,2,0)))</f>
        <v>31098.263168000001</v>
      </c>
      <c r="Y53" s="57">
        <f>IF(Y$3=2010,N53*(1+VLOOKUP(Y$3,'Returns &amp; Bonus'!$A$5:$B$15,2,0)),(N53+X53)*(1+VLOOKUP(Y$3,'Returns &amp; Bonus'!$A$5:$B$15,2,0)))</f>
        <v>37994.550009600003</v>
      </c>
      <c r="Z53" s="57">
        <f>IF(Z$3=2010,O53*(1+VLOOKUP(Z$3,'Returns &amp; Bonus'!$A$5:$B$15,2,0)),(O53+Y53)*(1+VLOOKUP(Z$3,'Returns &amp; Bonus'!$A$5:$B$15,2,0)))</f>
        <v>52986.321510848</v>
      </c>
      <c r="AA53" s="57">
        <f>IF(AA$3=2010,P53*(1+VLOOKUP(AA$3,'Returns &amp; Bonus'!$A$5:$B$15,2,0)),(P53+Z53)*(1+VLOOKUP(AA$3,'Returns &amp; Bonus'!$A$5:$B$15,2,0)))</f>
        <v>68689.376877041286</v>
      </c>
      <c r="AB53" s="81">
        <f>IF(AB$3=2010,Q53*(1+VLOOKUP(AB$3,'Returns &amp; Bonus'!$A$5:$B$15,2,0)),(Q53+AA53)*(1+VLOOKUP(AB$3,'Returns &amp; Bonus'!$A$5:$B$15,2,0)))</f>
        <v>76033.669339500455</v>
      </c>
      <c r="AC53" s="85"/>
      <c r="AD53" s="58">
        <f t="shared" si="15"/>
        <v>73351.654339500456</v>
      </c>
      <c r="AE53" s="58">
        <f t="shared" si="16"/>
        <v>0</v>
      </c>
      <c r="AF53" s="58">
        <f t="shared" si="9"/>
        <v>2682.0149999999999</v>
      </c>
      <c r="AG53" s="58">
        <f t="shared" si="10"/>
        <v>73351.654339500456</v>
      </c>
      <c r="AH53" s="55">
        <f>IF(VLOOKUP(A53,'Data &amp; Formulae'!$A$11:$F$91,6,0)="Y",BonusFundProp*AF53*VLOOKUP(YEAR(B53),'Returns &amp; Bonus'!$G$4:$I$15,3,0),0)</f>
        <v>0</v>
      </c>
      <c r="AI53" s="55">
        <f>IF(VLOOKUP(A53,'Data &amp; Formulae'!$A$11:$F$91,6,0)="Y",ClaimFundProp*AF53+AH53,0)</f>
        <v>0</v>
      </c>
      <c r="AJ53" s="55">
        <f t="shared" si="17"/>
        <v>0</v>
      </c>
      <c r="AK53" s="55">
        <f t="shared" si="11"/>
        <v>0</v>
      </c>
      <c r="AL53" s="60"/>
      <c r="AM53" s="71">
        <f t="shared" si="18"/>
        <v>0</v>
      </c>
      <c r="AN53" s="55">
        <f t="shared" si="12"/>
        <v>0</v>
      </c>
      <c r="AO53" s="60"/>
      <c r="AP53" s="71">
        <f>IF(VLOOKUP(A53,'Data &amp; Formulae'!$A$11:$F$91,6,0)="Y",Scen2Bonus*AF53,0)</f>
        <v>0</v>
      </c>
      <c r="AQ53" s="55">
        <f>IF(VLOOKUP(A53,'Data &amp; Formulae'!$A$11:$F$91,6,0)="Y",ClaimFundProp*AF53+AP53,0)</f>
        <v>0</v>
      </c>
      <c r="AR53" s="55">
        <f t="shared" si="19"/>
        <v>0</v>
      </c>
      <c r="AS53" s="55">
        <f t="shared" si="13"/>
        <v>0</v>
      </c>
      <c r="AT53" s="60"/>
      <c r="AU53" s="71">
        <f>IF(VLOOKUP(A53,'Data &amp; Formulae'!$A$11:$F$91,6,0)="Y",SurrPay*AF53,0)</f>
        <v>0</v>
      </c>
      <c r="AV53" s="73"/>
      <c r="AX53" s="4" t="b">
        <f t="shared" si="20"/>
        <v>1</v>
      </c>
      <c r="AY53" s="89" t="e">
        <f>(S53/(R53+H53)-1)-VLOOKUP(AY$3,'Returns &amp; Bonus'!$A$5:$B$15,2,0)</f>
        <v>#DIV/0!</v>
      </c>
      <c r="AZ53" s="89" t="e">
        <f>(T53/(S53+I53)-1)-VLOOKUP(AZ$3,'Returns &amp; Bonus'!$A$5:$B$15,2,0)</f>
        <v>#DIV/0!</v>
      </c>
      <c r="BA53" s="89" t="e">
        <f>(U53/(T53+J53)-1)-VLOOKUP(BA$3,'Returns &amp; Bonus'!$A$5:$B$15,2,0)</f>
        <v>#DIV/0!</v>
      </c>
      <c r="BB53" s="89">
        <f>(V53/(U53+K53)-1)-VLOOKUP(BB$3,'Returns &amp; Bonus'!$A$5:$B$15,2,0)</f>
        <v>-1.1969591984239969E-16</v>
      </c>
      <c r="BC53" s="89">
        <f>(W53/(V53+L53)-1)-VLOOKUP(BC$3,'Returns &amp; Bonus'!$A$5:$B$15,2,0)</f>
        <v>0</v>
      </c>
      <c r="BD53" s="89">
        <f>(X53/(W53+M53)-1)-VLOOKUP(BD$3,'Returns &amp; Bonus'!$A$5:$B$15,2,0)</f>
        <v>0</v>
      </c>
      <c r="BE53" s="89">
        <f>(Y53/(X53+N53)-1)-VLOOKUP(BE$3,'Returns &amp; Bonus'!$A$5:$B$15,2,0)</f>
        <v>0</v>
      </c>
      <c r="BF53" s="89">
        <f>(Z53/(Y53+O53)-1)-VLOOKUP(BF$3,'Returns &amp; Bonus'!$A$5:$B$15,2,0)</f>
        <v>0</v>
      </c>
      <c r="BG53" s="89">
        <f>(AA53/(Z53+P53)-1)-VLOOKUP(BG$3,'Returns &amp; Bonus'!$A$5:$B$15,2,0)</f>
        <v>0</v>
      </c>
      <c r="BH53" s="89">
        <f>(AB53/(AA53+Q53)-1)-VLOOKUP(BH$3,'Returns &amp; Bonus'!$A$5:$B$15,2,0)</f>
        <v>0</v>
      </c>
    </row>
    <row r="54" spans="1:60" x14ac:dyDescent="0.25">
      <c r="A54" s="77">
        <f>'Amended Data'!A54</f>
        <v>51</v>
      </c>
      <c r="B54" s="75">
        <f>'Amended Data'!K54</f>
        <v>41640</v>
      </c>
      <c r="C54" s="55">
        <f>'Amended Data'!J54</f>
        <v>4422</v>
      </c>
      <c r="D54" s="56">
        <f>'Amended Data'!L54</f>
        <v>30</v>
      </c>
      <c r="E54" s="57">
        <f>'Amended Data'!M54</f>
        <v>17829.997499999998</v>
      </c>
      <c r="F54" s="57" t="str">
        <f>'Data &amp; Formulae'!H62</f>
        <v>Y</v>
      </c>
      <c r="G54" s="57">
        <f t="shared" si="22"/>
        <v>0</v>
      </c>
      <c r="H54" s="57">
        <f t="shared" si="22"/>
        <v>0</v>
      </c>
      <c r="I54" s="57">
        <f t="shared" si="22"/>
        <v>0</v>
      </c>
      <c r="J54" s="57">
        <f t="shared" si="22"/>
        <v>0</v>
      </c>
      <c r="K54" s="57">
        <f t="shared" si="22"/>
        <v>4422</v>
      </c>
      <c r="L54" s="57">
        <f t="shared" si="22"/>
        <v>4422</v>
      </c>
      <c r="M54" s="57">
        <f t="shared" si="22"/>
        <v>4422</v>
      </c>
      <c r="N54" s="57">
        <f t="shared" si="22"/>
        <v>4422</v>
      </c>
      <c r="O54" s="57">
        <f t="shared" si="22"/>
        <v>4422</v>
      </c>
      <c r="P54" s="57">
        <f t="shared" si="22"/>
        <v>4422</v>
      </c>
      <c r="Q54" s="57">
        <f t="shared" si="22"/>
        <v>4422</v>
      </c>
      <c r="R54" s="57">
        <f>IF(R$3=2010,G54*(1+VLOOKUP(R$3,'Returns &amp; Bonus'!$A$5:$B$15,2,0)),(G54+Q54)*(1+VLOOKUP(R$3,'Returns &amp; Bonus'!$A$5:$B$15,2,0)))</f>
        <v>0</v>
      </c>
      <c r="S54" s="57">
        <f>IF(S$3=2010,H54*(1+VLOOKUP(S$3,'Returns &amp; Bonus'!$A$5:$B$15,2,0)),(H54+R54)*(1+VLOOKUP(S$3,'Returns &amp; Bonus'!$A$5:$B$15,2,0)))</f>
        <v>0</v>
      </c>
      <c r="T54" s="57">
        <f>IF(T$3=2010,I54*(1+VLOOKUP(T$3,'Returns &amp; Bonus'!$A$5:$B$15,2,0)),(I54+S54)*(1+VLOOKUP(T$3,'Returns &amp; Bonus'!$A$5:$B$15,2,0)))</f>
        <v>0</v>
      </c>
      <c r="U54" s="57">
        <f>IF(U$3=2010,J54*(1+VLOOKUP(U$3,'Returns &amp; Bonus'!$A$5:$B$15,2,0)),(J54+T54)*(1+VLOOKUP(U$3,'Returns &amp; Bonus'!$A$5:$B$15,2,0)))</f>
        <v>0</v>
      </c>
      <c r="V54" s="57">
        <f>IF(V$3=2010,K54*(1+VLOOKUP(V$3,'Returns &amp; Bonus'!$A$5:$B$15,2,0)),(K54+U54)*(1+VLOOKUP(V$3,'Returns &amp; Bonus'!$A$5:$B$15,2,0)))</f>
        <v>4377.78</v>
      </c>
      <c r="W54" s="57">
        <f>IF(W$3=2010,L54*(1+VLOOKUP(W$3,'Returns &amp; Bonus'!$A$5:$B$15,2,0)),(L54+V54)*(1+VLOOKUP(W$3,'Returns &amp; Bonus'!$A$5:$B$15,2,0)))</f>
        <v>11351.716199999999</v>
      </c>
      <c r="X54" s="57">
        <f>IF(X$3=2010,M54*(1+VLOOKUP(X$3,'Returns &amp; Bonus'!$A$5:$B$15,2,0)),(M54+W54)*(1+VLOOKUP(X$3,'Returns &amp; Bonus'!$A$5:$B$15,2,0)))</f>
        <v>15458.241875999998</v>
      </c>
      <c r="Y54" s="57">
        <f>IF(Y$3=2010,N54*(1+VLOOKUP(Y$3,'Returns &amp; Bonus'!$A$5:$B$15,2,0)),(N54+X54)*(1+VLOOKUP(Y$3,'Returns &amp; Bonus'!$A$5:$B$15,2,0)))</f>
        <v>18886.2297822</v>
      </c>
      <c r="Z54" s="57">
        <f>IF(Z$3=2010,O54*(1+VLOOKUP(Z$3,'Returns &amp; Bonus'!$A$5:$B$15,2,0)),(O54+Y54)*(1+VLOOKUP(Z$3,'Returns &amp; Bonus'!$A$5:$B$15,2,0)))</f>
        <v>26338.299653885999</v>
      </c>
      <c r="AA54" s="57">
        <f>IF(AA$3=2010,P54*(1+VLOOKUP(AA$3,'Returns &amp; Bonus'!$A$5:$B$15,2,0)),(P54+Z54)*(1+VLOOKUP(AA$3,'Returns &amp; Bonus'!$A$5:$B$15,2,0)))</f>
        <v>34143.932615813465</v>
      </c>
      <c r="AB54" s="81">
        <f>IF(AB$3=2010,Q54*(1+VLOOKUP(AB$3,'Returns &amp; Bonus'!$A$5:$B$15,2,0)),(Q54+AA54)*(1+VLOOKUP(AB$3,'Returns &amp; Bonus'!$A$5:$B$15,2,0)))</f>
        <v>37794.613963497191</v>
      </c>
      <c r="AC54" s="85"/>
      <c r="AD54" s="58">
        <f t="shared" si="15"/>
        <v>19964.616463497194</v>
      </c>
      <c r="AE54" s="58">
        <f t="shared" si="16"/>
        <v>0</v>
      </c>
      <c r="AF54" s="58">
        <f t="shared" si="9"/>
        <v>17829.997499999998</v>
      </c>
      <c r="AG54" s="58">
        <f t="shared" si="10"/>
        <v>19964.616463497194</v>
      </c>
      <c r="AH54" s="55">
        <f>IF(VLOOKUP(A54,'Data &amp; Formulae'!$A$11:$F$91,6,0)="Y",BonusFundProp*AF54*VLOOKUP(YEAR(B54),'Returns &amp; Bonus'!$G$4:$I$15,3,0),0)</f>
        <v>3833.4494624999998</v>
      </c>
      <c r="AI54" s="55">
        <f>IF(VLOOKUP(A54,'Data &amp; Formulae'!$A$11:$F$91,6,0)="Y",ClaimFundProp*AF54+AH54,0)</f>
        <v>18097.4474625</v>
      </c>
      <c r="AJ54" s="55">
        <f t="shared" si="17"/>
        <v>18097.4474625</v>
      </c>
      <c r="AK54" s="55">
        <f t="shared" si="11"/>
        <v>-267.44996250000258</v>
      </c>
      <c r="AL54" s="60"/>
      <c r="AM54" s="71">
        <f t="shared" si="18"/>
        <v>18097.4474625</v>
      </c>
      <c r="AN54" s="55">
        <f t="shared" si="12"/>
        <v>-267.44996250000258</v>
      </c>
      <c r="AO54" s="60"/>
      <c r="AP54" s="71">
        <f>IF(VLOOKUP(A54,'Data &amp; Formulae'!$A$11:$F$91,6,0)="Y",Scen2Bonus*AF54,0)</f>
        <v>3744.2994749999993</v>
      </c>
      <c r="AQ54" s="55">
        <f>IF(VLOOKUP(A54,'Data &amp; Formulae'!$A$11:$F$91,6,0)="Y",ClaimFundProp*AF54+AP54,0)</f>
        <v>18008.297474999999</v>
      </c>
      <c r="AR54" s="55">
        <f t="shared" si="19"/>
        <v>18008.297474999999</v>
      </c>
      <c r="AS54" s="55">
        <f t="shared" si="13"/>
        <v>-178.29997500000172</v>
      </c>
      <c r="AT54" s="60"/>
      <c r="AU54" s="71">
        <f>IF(VLOOKUP(A54,'Data &amp; Formulae'!$A$11:$F$91,6,0)="Y",SurrPay*AF54,0)</f>
        <v>445.74993749999999</v>
      </c>
      <c r="AV54" s="73"/>
      <c r="AX54" s="4" t="b">
        <f t="shared" si="20"/>
        <v>1</v>
      </c>
      <c r="AY54" s="89" t="e">
        <f>(S54/(R54+H54)-1)-VLOOKUP(AY$3,'Returns &amp; Bonus'!$A$5:$B$15,2,0)</f>
        <v>#DIV/0!</v>
      </c>
      <c r="AZ54" s="89" t="e">
        <f>(T54/(S54+I54)-1)-VLOOKUP(AZ$3,'Returns &amp; Bonus'!$A$5:$B$15,2,0)</f>
        <v>#DIV/0!</v>
      </c>
      <c r="BA54" s="89" t="e">
        <f>(U54/(T54+J54)-1)-VLOOKUP(BA$3,'Returns &amp; Bonus'!$A$5:$B$15,2,0)</f>
        <v>#DIV/0!</v>
      </c>
      <c r="BB54" s="89">
        <f>(V54/(U54+K54)-1)-VLOOKUP(BB$3,'Returns &amp; Bonus'!$A$5:$B$15,2,0)</f>
        <v>0</v>
      </c>
      <c r="BC54" s="89">
        <f>(W54/(V54+L54)-1)-VLOOKUP(BC$3,'Returns &amp; Bonus'!$A$5:$B$15,2,0)</f>
        <v>0</v>
      </c>
      <c r="BD54" s="89">
        <f>(X54/(W54+M54)-1)-VLOOKUP(BD$3,'Returns &amp; Bonus'!$A$5:$B$15,2,0)</f>
        <v>0</v>
      </c>
      <c r="BE54" s="89">
        <f>(Y54/(X54+N54)-1)-VLOOKUP(BE$3,'Returns &amp; Bonus'!$A$5:$B$15,2,0)</f>
        <v>0</v>
      </c>
      <c r="BF54" s="89">
        <f>(Z54/(Y54+O54)-1)-VLOOKUP(BF$3,'Returns &amp; Bonus'!$A$5:$B$15,2,0)</f>
        <v>0</v>
      </c>
      <c r="BG54" s="89">
        <f>(AA54/(Z54+P54)-1)-VLOOKUP(BG$3,'Returns &amp; Bonus'!$A$5:$B$15,2,0)</f>
        <v>0</v>
      </c>
      <c r="BH54" s="89">
        <f>(AB54/(AA54+Q54)-1)-VLOOKUP(BH$3,'Returns &amp; Bonus'!$A$5:$B$15,2,0)</f>
        <v>-1.2836953722228372E-16</v>
      </c>
    </row>
    <row r="55" spans="1:60" x14ac:dyDescent="0.25">
      <c r="A55" s="77">
        <f>'Amended Data'!A55</f>
        <v>52</v>
      </c>
      <c r="B55" s="75">
        <f>'Amended Data'!K55</f>
        <v>41640</v>
      </c>
      <c r="C55" s="55">
        <f>'Amended Data'!J55</f>
        <v>1817</v>
      </c>
      <c r="D55" s="56">
        <f>'Amended Data'!L55</f>
        <v>16</v>
      </c>
      <c r="E55" s="57">
        <f>'Amended Data'!M55</f>
        <v>805.4375</v>
      </c>
      <c r="F55" s="57" t="str">
        <f>'Data &amp; Formulae'!H63</f>
        <v>Y</v>
      </c>
      <c r="G55" s="57">
        <f t="shared" si="22"/>
        <v>0</v>
      </c>
      <c r="H55" s="57">
        <f t="shared" si="22"/>
        <v>0</v>
      </c>
      <c r="I55" s="57">
        <f t="shared" si="22"/>
        <v>0</v>
      </c>
      <c r="J55" s="57">
        <f t="shared" si="22"/>
        <v>0</v>
      </c>
      <c r="K55" s="57">
        <f t="shared" si="22"/>
        <v>1817</v>
      </c>
      <c r="L55" s="57">
        <f t="shared" si="22"/>
        <v>1817</v>
      </c>
      <c r="M55" s="57">
        <f t="shared" si="22"/>
        <v>1817</v>
      </c>
      <c r="N55" s="57">
        <f t="shared" si="22"/>
        <v>1817</v>
      </c>
      <c r="O55" s="57">
        <f t="shared" si="22"/>
        <v>1817</v>
      </c>
      <c r="P55" s="57">
        <f t="shared" si="22"/>
        <v>1817</v>
      </c>
      <c r="Q55" s="57">
        <f t="shared" si="22"/>
        <v>1817</v>
      </c>
      <c r="R55" s="57">
        <f>IF(R$3=2010,G55*(1+VLOOKUP(R$3,'Returns &amp; Bonus'!$A$5:$B$15,2,0)),(G55+Q55)*(1+VLOOKUP(R$3,'Returns &amp; Bonus'!$A$5:$B$15,2,0)))</f>
        <v>0</v>
      </c>
      <c r="S55" s="57">
        <f>IF(S$3=2010,H55*(1+VLOOKUP(S$3,'Returns &amp; Bonus'!$A$5:$B$15,2,0)),(H55+R55)*(1+VLOOKUP(S$3,'Returns &amp; Bonus'!$A$5:$B$15,2,0)))</f>
        <v>0</v>
      </c>
      <c r="T55" s="57">
        <f>IF(T$3=2010,I55*(1+VLOOKUP(T$3,'Returns &amp; Bonus'!$A$5:$B$15,2,0)),(I55+S55)*(1+VLOOKUP(T$3,'Returns &amp; Bonus'!$A$5:$B$15,2,0)))</f>
        <v>0</v>
      </c>
      <c r="U55" s="57">
        <f>IF(U$3=2010,J55*(1+VLOOKUP(U$3,'Returns &amp; Bonus'!$A$5:$B$15,2,0)),(J55+T55)*(1+VLOOKUP(U$3,'Returns &amp; Bonus'!$A$5:$B$15,2,0)))</f>
        <v>0</v>
      </c>
      <c r="V55" s="57">
        <f>IF(V$3=2010,K55*(1+VLOOKUP(V$3,'Returns &amp; Bonus'!$A$5:$B$15,2,0)),(K55+U55)*(1+VLOOKUP(V$3,'Returns &amp; Bonus'!$A$5:$B$15,2,0)))</f>
        <v>1798.83</v>
      </c>
      <c r="W55" s="57">
        <f>IF(W$3=2010,L55*(1+VLOOKUP(W$3,'Returns &amp; Bonus'!$A$5:$B$15,2,0)),(L55+V55)*(1+VLOOKUP(W$3,'Returns &amp; Bonus'!$A$5:$B$15,2,0)))</f>
        <v>4664.4206999999997</v>
      </c>
      <c r="X55" s="57">
        <f>IF(X$3=2010,M55*(1+VLOOKUP(X$3,'Returns &amp; Bonus'!$A$5:$B$15,2,0)),(M55+W55)*(1+VLOOKUP(X$3,'Returns &amp; Bonus'!$A$5:$B$15,2,0)))</f>
        <v>6351.7922859999999</v>
      </c>
      <c r="Y55" s="57">
        <f>IF(Y$3=2010,N55*(1+VLOOKUP(Y$3,'Returns &amp; Bonus'!$A$5:$B$15,2,0)),(N55+X55)*(1+VLOOKUP(Y$3,'Returns &amp; Bonus'!$A$5:$B$15,2,0)))</f>
        <v>7760.3526716999995</v>
      </c>
      <c r="Z55" s="57">
        <f>IF(Z$3=2010,O55*(1+VLOOKUP(Z$3,'Returns &amp; Bonus'!$A$5:$B$15,2,0)),(O55+Y55)*(1+VLOOKUP(Z$3,'Returns &amp; Bonus'!$A$5:$B$15,2,0)))</f>
        <v>10822.408519020997</v>
      </c>
      <c r="AA55" s="57">
        <f>IF(AA$3=2010,P55*(1+VLOOKUP(AA$3,'Returns &amp; Bonus'!$A$5:$B$15,2,0)),(P55+Z55)*(1+VLOOKUP(AA$3,'Returns &amp; Bonus'!$A$5:$B$15,2,0)))</f>
        <v>14029.743456113309</v>
      </c>
      <c r="AB55" s="81">
        <f>IF(AB$3=2010,Q55*(1+VLOOKUP(AB$3,'Returns &amp; Bonus'!$A$5:$B$15,2,0)),(Q55+AA55)*(1+VLOOKUP(AB$3,'Returns &amp; Bonus'!$A$5:$B$15,2,0)))</f>
        <v>15529.808586991043</v>
      </c>
      <c r="AC55" s="85"/>
      <c r="AD55" s="58">
        <f t="shared" si="15"/>
        <v>14724.371086991043</v>
      </c>
      <c r="AE55" s="58">
        <f t="shared" si="16"/>
        <v>0</v>
      </c>
      <c r="AF55" s="58">
        <f t="shared" si="9"/>
        <v>805.4375</v>
      </c>
      <c r="AG55" s="58">
        <f t="shared" si="10"/>
        <v>14724.371086991043</v>
      </c>
      <c r="AH55" s="55">
        <f>IF(VLOOKUP(A55,'Data &amp; Formulae'!$A$11:$F$91,6,0)="Y",BonusFundProp*AF55*VLOOKUP(YEAR(B55),'Returns &amp; Bonus'!$G$4:$I$15,3,0),0)</f>
        <v>173.1690625</v>
      </c>
      <c r="AI55" s="55">
        <f>IF(VLOOKUP(A55,'Data &amp; Formulae'!$A$11:$F$91,6,0)="Y",ClaimFundProp*AF55+AH55,0)</f>
        <v>817.51906250000002</v>
      </c>
      <c r="AJ55" s="55">
        <f t="shared" si="17"/>
        <v>817.51906250000002</v>
      </c>
      <c r="AK55" s="55">
        <f t="shared" si="11"/>
        <v>-12.081562500000018</v>
      </c>
      <c r="AL55" s="60"/>
      <c r="AM55" s="71">
        <f t="shared" si="18"/>
        <v>817.51906250000002</v>
      </c>
      <c r="AN55" s="55">
        <f t="shared" si="12"/>
        <v>-12.081562500000018</v>
      </c>
      <c r="AO55" s="60"/>
      <c r="AP55" s="71">
        <f>IF(VLOOKUP(A55,'Data &amp; Formulae'!$A$11:$F$91,6,0)="Y",Scen2Bonus*AF55,0)</f>
        <v>169.141875</v>
      </c>
      <c r="AQ55" s="55">
        <f>IF(VLOOKUP(A55,'Data &amp; Formulae'!$A$11:$F$91,6,0)="Y",ClaimFundProp*AF55+AP55,0)</f>
        <v>813.49187500000005</v>
      </c>
      <c r="AR55" s="55">
        <f t="shared" si="19"/>
        <v>813.49187500000005</v>
      </c>
      <c r="AS55" s="55">
        <f t="shared" si="13"/>
        <v>-8.05437500000005</v>
      </c>
      <c r="AT55" s="60"/>
      <c r="AU55" s="71">
        <f>IF(VLOOKUP(A55,'Data &amp; Formulae'!$A$11:$F$91,6,0)="Y",SurrPay*AF55,0)</f>
        <v>20.135937500000001</v>
      </c>
      <c r="AV55" s="73"/>
      <c r="AX55" s="4" t="b">
        <f t="shared" si="20"/>
        <v>1</v>
      </c>
      <c r="AY55" s="89" t="e">
        <f>(S55/(R55+H55)-1)-VLOOKUP(AY$3,'Returns &amp; Bonus'!$A$5:$B$15,2,0)</f>
        <v>#DIV/0!</v>
      </c>
      <c r="AZ55" s="89" t="e">
        <f>(T55/(S55+I55)-1)-VLOOKUP(AZ$3,'Returns &amp; Bonus'!$A$5:$B$15,2,0)</f>
        <v>#DIV/0!</v>
      </c>
      <c r="BA55" s="89" t="e">
        <f>(U55/(T55+J55)-1)-VLOOKUP(BA$3,'Returns &amp; Bonus'!$A$5:$B$15,2,0)</f>
        <v>#DIV/0!</v>
      </c>
      <c r="BB55" s="89">
        <f>(V55/(U55+K55)-1)-VLOOKUP(BB$3,'Returns &amp; Bonus'!$A$5:$B$15,2,0)</f>
        <v>0</v>
      </c>
      <c r="BC55" s="89">
        <f>(W55/(V55+L55)-1)-VLOOKUP(BC$3,'Returns &amp; Bonus'!$A$5:$B$15,2,0)</f>
        <v>0</v>
      </c>
      <c r="BD55" s="89">
        <f>(X55/(W55+M55)-1)-VLOOKUP(BD$3,'Returns &amp; Bonus'!$A$5:$B$15,2,0)</f>
        <v>0</v>
      </c>
      <c r="BE55" s="89">
        <f>(Y55/(X55+N55)-1)-VLOOKUP(BE$3,'Returns &amp; Bonus'!$A$5:$B$15,2,0)</f>
        <v>0</v>
      </c>
      <c r="BF55" s="89">
        <f>(Z55/(Y55+O55)-1)-VLOOKUP(BF$3,'Returns &amp; Bonus'!$A$5:$B$15,2,0)</f>
        <v>0</v>
      </c>
      <c r="BG55" s="89">
        <f>(AA55/(Z55+P55)-1)-VLOOKUP(BG$3,'Returns &amp; Bonus'!$A$5:$B$15,2,0)</f>
        <v>0</v>
      </c>
      <c r="BH55" s="89">
        <f>(AB55/(AA55+Q55)-1)-VLOOKUP(BH$3,'Returns &amp; Bonus'!$A$5:$B$15,2,0)</f>
        <v>0</v>
      </c>
    </row>
    <row r="56" spans="1:60" x14ac:dyDescent="0.25">
      <c r="A56" s="77">
        <f>'Amended Data'!A56</f>
        <v>53</v>
      </c>
      <c r="B56" s="75">
        <f>'Amended Data'!K56</f>
        <v>41640</v>
      </c>
      <c r="C56" s="55">
        <f>'Amended Data'!J56</f>
        <v>8780</v>
      </c>
      <c r="D56" s="56">
        <f>'Amended Data'!L56</f>
        <v>14</v>
      </c>
      <c r="E56" s="57">
        <f>'Amended Data'!M56</f>
        <v>14460.022499999999</v>
      </c>
      <c r="F56" s="57" t="str">
        <f>'Data &amp; Formulae'!H64</f>
        <v>Y</v>
      </c>
      <c r="G56" s="57">
        <f t="shared" si="22"/>
        <v>0</v>
      </c>
      <c r="H56" s="57">
        <f t="shared" si="22"/>
        <v>0</v>
      </c>
      <c r="I56" s="57">
        <f t="shared" si="22"/>
        <v>0</v>
      </c>
      <c r="J56" s="57">
        <f t="shared" si="22"/>
        <v>0</v>
      </c>
      <c r="K56" s="57">
        <f t="shared" si="22"/>
        <v>8780</v>
      </c>
      <c r="L56" s="57">
        <f t="shared" si="22"/>
        <v>8780</v>
      </c>
      <c r="M56" s="57">
        <f t="shared" si="22"/>
        <v>8780</v>
      </c>
      <c r="N56" s="57">
        <f t="shared" si="22"/>
        <v>8780</v>
      </c>
      <c r="O56" s="57">
        <f t="shared" si="22"/>
        <v>8780</v>
      </c>
      <c r="P56" s="57">
        <f t="shared" si="22"/>
        <v>8780</v>
      </c>
      <c r="Q56" s="57">
        <f t="shared" si="22"/>
        <v>8780</v>
      </c>
      <c r="R56" s="57">
        <f>IF(R$3=2010,G56*(1+VLOOKUP(R$3,'Returns &amp; Bonus'!$A$5:$B$15,2,0)),(G56+Q56)*(1+VLOOKUP(R$3,'Returns &amp; Bonus'!$A$5:$B$15,2,0)))</f>
        <v>0</v>
      </c>
      <c r="S56" s="57">
        <f>IF(S$3=2010,H56*(1+VLOOKUP(S$3,'Returns &amp; Bonus'!$A$5:$B$15,2,0)),(H56+R56)*(1+VLOOKUP(S$3,'Returns &amp; Bonus'!$A$5:$B$15,2,0)))</f>
        <v>0</v>
      </c>
      <c r="T56" s="57">
        <f>IF(T$3=2010,I56*(1+VLOOKUP(T$3,'Returns &amp; Bonus'!$A$5:$B$15,2,0)),(I56+S56)*(1+VLOOKUP(T$3,'Returns &amp; Bonus'!$A$5:$B$15,2,0)))</f>
        <v>0</v>
      </c>
      <c r="U56" s="57">
        <f>IF(U$3=2010,J56*(1+VLOOKUP(U$3,'Returns &amp; Bonus'!$A$5:$B$15,2,0)),(J56+T56)*(1+VLOOKUP(U$3,'Returns &amp; Bonus'!$A$5:$B$15,2,0)))</f>
        <v>0</v>
      </c>
      <c r="V56" s="57">
        <f>IF(V$3=2010,K56*(1+VLOOKUP(V$3,'Returns &amp; Bonus'!$A$5:$B$15,2,0)),(K56+U56)*(1+VLOOKUP(V$3,'Returns &amp; Bonus'!$A$5:$B$15,2,0)))</f>
        <v>8692.2000000000007</v>
      </c>
      <c r="W56" s="57">
        <f>IF(W$3=2010,L56*(1+VLOOKUP(W$3,'Returns &amp; Bonus'!$A$5:$B$15,2,0)),(L56+V56)*(1+VLOOKUP(W$3,'Returns &amp; Bonus'!$A$5:$B$15,2,0)))</f>
        <v>22539.138000000003</v>
      </c>
      <c r="X56" s="57">
        <f>IF(X$3=2010,M56*(1+VLOOKUP(X$3,'Returns &amp; Bonus'!$A$5:$B$15,2,0)),(M56+W56)*(1+VLOOKUP(X$3,'Returns &amp; Bonus'!$A$5:$B$15,2,0)))</f>
        <v>30692.755240000002</v>
      </c>
      <c r="Y56" s="57">
        <f>IF(Y$3=2010,N56*(1+VLOOKUP(Y$3,'Returns &amp; Bonus'!$A$5:$B$15,2,0)),(N56+X56)*(1+VLOOKUP(Y$3,'Returns &amp; Bonus'!$A$5:$B$15,2,0)))</f>
        <v>37499.117478</v>
      </c>
      <c r="Z56" s="57">
        <f>IF(Z$3=2010,O56*(1+VLOOKUP(Z$3,'Returns &amp; Bonus'!$A$5:$B$15,2,0)),(O56+Y56)*(1+VLOOKUP(Z$3,'Returns &amp; Bonus'!$A$5:$B$15,2,0)))</f>
        <v>52295.402750139998</v>
      </c>
      <c r="AA56" s="57">
        <f>IF(AA$3=2010,P56*(1+VLOOKUP(AA$3,'Returns &amp; Bonus'!$A$5:$B$15,2,0)),(P56+Z56)*(1+VLOOKUP(AA$3,'Returns &amp; Bonus'!$A$5:$B$15,2,0)))</f>
        <v>67793.697052655407</v>
      </c>
      <c r="AB56" s="81">
        <f>IF(AB$3=2010,Q56*(1+VLOOKUP(AB$3,'Returns &amp; Bonus'!$A$5:$B$15,2,0)),(Q56+AA56)*(1+VLOOKUP(AB$3,'Returns &amp; Bonus'!$A$5:$B$15,2,0)))</f>
        <v>75042.223111602303</v>
      </c>
      <c r="AC56" s="85"/>
      <c r="AD56" s="58">
        <f t="shared" si="15"/>
        <v>60582.200611602304</v>
      </c>
      <c r="AE56" s="58">
        <f t="shared" si="16"/>
        <v>0</v>
      </c>
      <c r="AF56" s="58">
        <f t="shared" si="9"/>
        <v>14460.022499999999</v>
      </c>
      <c r="AG56" s="58">
        <f t="shared" si="10"/>
        <v>60582.200611602304</v>
      </c>
      <c r="AH56" s="55">
        <f>IF(VLOOKUP(A56,'Data &amp; Formulae'!$A$11:$F$91,6,0)="Y",BonusFundProp*AF56*VLOOKUP(YEAR(B56),'Returns &amp; Bonus'!$G$4:$I$15,3,0),0)</f>
        <v>3108.9048374999998</v>
      </c>
      <c r="AI56" s="55">
        <f>IF(VLOOKUP(A56,'Data &amp; Formulae'!$A$11:$F$91,6,0)="Y",ClaimFundProp*AF56+AH56,0)</f>
        <v>14676.9228375</v>
      </c>
      <c r="AJ56" s="55">
        <f t="shared" si="17"/>
        <v>14676.9228375</v>
      </c>
      <c r="AK56" s="55">
        <f t="shared" si="11"/>
        <v>-216.90033750000111</v>
      </c>
      <c r="AL56" s="60"/>
      <c r="AM56" s="71">
        <f t="shared" si="18"/>
        <v>14676.9228375</v>
      </c>
      <c r="AN56" s="55">
        <f t="shared" si="12"/>
        <v>-216.90033750000111</v>
      </c>
      <c r="AO56" s="60"/>
      <c r="AP56" s="71">
        <f>IF(VLOOKUP(A56,'Data &amp; Formulae'!$A$11:$F$91,6,0)="Y",Scen2Bonus*AF56,0)</f>
        <v>3036.6047249999997</v>
      </c>
      <c r="AQ56" s="55">
        <f>IF(VLOOKUP(A56,'Data &amp; Formulae'!$A$11:$F$91,6,0)="Y",ClaimFundProp*AF56+AP56,0)</f>
        <v>14604.622724999999</v>
      </c>
      <c r="AR56" s="55">
        <f t="shared" si="19"/>
        <v>14604.622724999999</v>
      </c>
      <c r="AS56" s="55">
        <f t="shared" si="13"/>
        <v>-144.60022500000014</v>
      </c>
      <c r="AT56" s="60"/>
      <c r="AU56" s="71">
        <f>IF(VLOOKUP(A56,'Data &amp; Formulae'!$A$11:$F$91,6,0)="Y",SurrPay*AF56,0)</f>
        <v>361.5005625</v>
      </c>
      <c r="AV56" s="73"/>
      <c r="AX56" s="4" t="b">
        <f t="shared" si="20"/>
        <v>1</v>
      </c>
      <c r="AY56" s="89" t="e">
        <f>(S56/(R56+H56)-1)-VLOOKUP(AY$3,'Returns &amp; Bonus'!$A$5:$B$15,2,0)</f>
        <v>#DIV/0!</v>
      </c>
      <c r="AZ56" s="89" t="e">
        <f>(T56/(S56+I56)-1)-VLOOKUP(AZ$3,'Returns &amp; Bonus'!$A$5:$B$15,2,0)</f>
        <v>#DIV/0!</v>
      </c>
      <c r="BA56" s="89" t="e">
        <f>(U56/(T56+J56)-1)-VLOOKUP(BA$3,'Returns &amp; Bonus'!$A$5:$B$15,2,0)</f>
        <v>#DIV/0!</v>
      </c>
      <c r="BB56" s="89">
        <f>(V56/(U56+K56)-1)-VLOOKUP(BB$3,'Returns &amp; Bonus'!$A$5:$B$15,2,0)</f>
        <v>1.0234868508263162E-16</v>
      </c>
      <c r="BC56" s="89">
        <f>(W56/(V56+L56)-1)-VLOOKUP(BC$3,'Returns &amp; Bonus'!$A$5:$B$15,2,0)</f>
        <v>0</v>
      </c>
      <c r="BD56" s="89">
        <f>(X56/(W56+M56)-1)-VLOOKUP(BD$3,'Returns &amp; Bonus'!$A$5:$B$15,2,0)</f>
        <v>0</v>
      </c>
      <c r="BE56" s="89">
        <f>(Y56/(X56+N56)-1)-VLOOKUP(BE$3,'Returns &amp; Bonus'!$A$5:$B$15,2,0)</f>
        <v>6.9388939039072284E-17</v>
      </c>
      <c r="BF56" s="89">
        <f>(Z56/(Y56+O56)-1)-VLOOKUP(BF$3,'Returns &amp; Bonus'!$A$5:$B$15,2,0)</f>
        <v>0</v>
      </c>
      <c r="BG56" s="89">
        <f>(AA56/(Z56+P56)-1)-VLOOKUP(BG$3,'Returns &amp; Bonus'!$A$5:$B$15,2,0)</f>
        <v>0</v>
      </c>
      <c r="BH56" s="89">
        <f>(AB56/(AA56+Q56)-1)-VLOOKUP(BH$3,'Returns &amp; Bonus'!$A$5:$B$15,2,0)</f>
        <v>9.3675067702747583E-17</v>
      </c>
    </row>
    <row r="57" spans="1:60" x14ac:dyDescent="0.25">
      <c r="A57" s="77">
        <f>'Amended Data'!A57</f>
        <v>54</v>
      </c>
      <c r="B57" s="75">
        <f>'Amended Data'!K57</f>
        <v>41640</v>
      </c>
      <c r="C57" s="55">
        <f>'Amended Data'!J57</f>
        <v>7004</v>
      </c>
      <c r="D57" s="56">
        <f>'Amended Data'!L57</f>
        <v>11</v>
      </c>
      <c r="E57" s="57">
        <f>'Amended Data'!M57</f>
        <v>596.45249999999987</v>
      </c>
      <c r="F57" s="57" t="str">
        <f>'Data &amp; Formulae'!H65</f>
        <v>Y</v>
      </c>
      <c r="G57" s="57">
        <f t="shared" si="22"/>
        <v>0</v>
      </c>
      <c r="H57" s="57">
        <f t="shared" si="22"/>
        <v>0</v>
      </c>
      <c r="I57" s="57">
        <f t="shared" si="22"/>
        <v>0</v>
      </c>
      <c r="J57" s="57">
        <f t="shared" si="22"/>
        <v>0</v>
      </c>
      <c r="K57" s="57">
        <f t="shared" si="22"/>
        <v>7004</v>
      </c>
      <c r="L57" s="57">
        <f t="shared" si="22"/>
        <v>7004</v>
      </c>
      <c r="M57" s="57">
        <f t="shared" si="22"/>
        <v>7004</v>
      </c>
      <c r="N57" s="57">
        <f t="shared" si="22"/>
        <v>7004</v>
      </c>
      <c r="O57" s="57">
        <f t="shared" si="22"/>
        <v>7004</v>
      </c>
      <c r="P57" s="57">
        <f t="shared" si="22"/>
        <v>7004</v>
      </c>
      <c r="Q57" s="57">
        <f t="shared" si="22"/>
        <v>7004</v>
      </c>
      <c r="R57" s="57">
        <f>IF(R$3=2010,G57*(1+VLOOKUP(R$3,'Returns &amp; Bonus'!$A$5:$B$15,2,0)),(G57+Q57)*(1+VLOOKUP(R$3,'Returns &amp; Bonus'!$A$5:$B$15,2,0)))</f>
        <v>0</v>
      </c>
      <c r="S57" s="57">
        <f>IF(S$3=2010,H57*(1+VLOOKUP(S$3,'Returns &amp; Bonus'!$A$5:$B$15,2,0)),(H57+R57)*(1+VLOOKUP(S$3,'Returns &amp; Bonus'!$A$5:$B$15,2,0)))</f>
        <v>0</v>
      </c>
      <c r="T57" s="57">
        <f>IF(T$3=2010,I57*(1+VLOOKUP(T$3,'Returns &amp; Bonus'!$A$5:$B$15,2,0)),(I57+S57)*(1+VLOOKUP(T$3,'Returns &amp; Bonus'!$A$5:$B$15,2,0)))</f>
        <v>0</v>
      </c>
      <c r="U57" s="57">
        <f>IF(U$3=2010,J57*(1+VLOOKUP(U$3,'Returns &amp; Bonus'!$A$5:$B$15,2,0)),(J57+T57)*(1+VLOOKUP(U$3,'Returns &amp; Bonus'!$A$5:$B$15,2,0)))</f>
        <v>0</v>
      </c>
      <c r="V57" s="57">
        <f>IF(V$3=2010,K57*(1+VLOOKUP(V$3,'Returns &amp; Bonus'!$A$5:$B$15,2,0)),(K57+U57)*(1+VLOOKUP(V$3,'Returns &amp; Bonus'!$A$5:$B$15,2,0)))</f>
        <v>6933.96</v>
      </c>
      <c r="W57" s="57">
        <f>IF(W$3=2010,L57*(1+VLOOKUP(W$3,'Returns &amp; Bonus'!$A$5:$B$15,2,0)),(L57+V57)*(1+VLOOKUP(W$3,'Returns &amp; Bonus'!$A$5:$B$15,2,0)))</f>
        <v>17979.968399999998</v>
      </c>
      <c r="X57" s="57">
        <f>IF(X$3=2010,M57*(1+VLOOKUP(X$3,'Returns &amp; Bonus'!$A$5:$B$15,2,0)),(M57+W57)*(1+VLOOKUP(X$3,'Returns &amp; Bonus'!$A$5:$B$15,2,0)))</f>
        <v>24484.289031999997</v>
      </c>
      <c r="Y57" s="57">
        <f>IF(Y$3=2010,N57*(1+VLOOKUP(Y$3,'Returns &amp; Bonus'!$A$5:$B$15,2,0)),(N57+X57)*(1+VLOOKUP(Y$3,'Returns &amp; Bonus'!$A$5:$B$15,2,0)))</f>
        <v>29913.874580399995</v>
      </c>
      <c r="Z57" s="57">
        <f>IF(Z$3=2010,O57*(1+VLOOKUP(Z$3,'Returns &amp; Bonus'!$A$5:$B$15,2,0)),(O57+Y57)*(1+VLOOKUP(Z$3,'Returns &amp; Bonus'!$A$5:$B$15,2,0)))</f>
        <v>41717.198275851988</v>
      </c>
      <c r="AA57" s="57">
        <f>IF(AA$3=2010,P57*(1+VLOOKUP(AA$3,'Returns &amp; Bonus'!$A$5:$B$15,2,0)),(P57+Z57)*(1+VLOOKUP(AA$3,'Returns &amp; Bonus'!$A$5:$B$15,2,0)))</f>
        <v>54080.530086195715</v>
      </c>
      <c r="AB57" s="81">
        <f>IF(AB$3=2010,Q57*(1+VLOOKUP(AB$3,'Returns &amp; Bonus'!$A$5:$B$15,2,0)),(Q57+AA57)*(1+VLOOKUP(AB$3,'Returns &amp; Bonus'!$A$5:$B$15,2,0)))</f>
        <v>59862.839484471799</v>
      </c>
      <c r="AC57" s="85"/>
      <c r="AD57" s="58">
        <f t="shared" si="15"/>
        <v>59266.386984471799</v>
      </c>
      <c r="AE57" s="58">
        <f t="shared" si="16"/>
        <v>0</v>
      </c>
      <c r="AF57" s="58">
        <f t="shared" si="9"/>
        <v>596.45249999999987</v>
      </c>
      <c r="AG57" s="58">
        <f t="shared" si="10"/>
        <v>59266.386984471799</v>
      </c>
      <c r="AH57" s="55">
        <f>IF(VLOOKUP(A57,'Data &amp; Formulae'!$A$11:$F$91,6,0)="Y",BonusFundProp*AF57*VLOOKUP(YEAR(B57),'Returns &amp; Bonus'!$G$4:$I$15,3,0),0)</f>
        <v>128.23728749999998</v>
      </c>
      <c r="AI57" s="55">
        <f>IF(VLOOKUP(A57,'Data &amp; Formulae'!$A$11:$F$91,6,0)="Y",ClaimFundProp*AF57+AH57,0)</f>
        <v>605.3992874999999</v>
      </c>
      <c r="AJ57" s="55">
        <f t="shared" si="17"/>
        <v>605.3992874999999</v>
      </c>
      <c r="AK57" s="55">
        <f t="shared" si="11"/>
        <v>-8.9467875000000276</v>
      </c>
      <c r="AL57" s="60"/>
      <c r="AM57" s="71">
        <f t="shared" si="18"/>
        <v>605.3992874999999</v>
      </c>
      <c r="AN57" s="55">
        <f t="shared" si="12"/>
        <v>-8.9467875000000276</v>
      </c>
      <c r="AO57" s="60"/>
      <c r="AP57" s="71">
        <f>IF(VLOOKUP(A57,'Data &amp; Formulae'!$A$11:$F$91,6,0)="Y",Scen2Bonus*AF57,0)</f>
        <v>125.25502499999997</v>
      </c>
      <c r="AQ57" s="55">
        <f>IF(VLOOKUP(A57,'Data &amp; Formulae'!$A$11:$F$91,6,0)="Y",ClaimFundProp*AF57+AP57,0)</f>
        <v>602.41702499999985</v>
      </c>
      <c r="AR57" s="55">
        <f t="shared" si="19"/>
        <v>602.41702499999985</v>
      </c>
      <c r="AS57" s="55">
        <f t="shared" si="13"/>
        <v>-5.9645249999999805</v>
      </c>
      <c r="AT57" s="60"/>
      <c r="AU57" s="71">
        <f>IF(VLOOKUP(A57,'Data &amp; Formulae'!$A$11:$F$91,6,0)="Y",SurrPay*AF57,0)</f>
        <v>14.911312499999998</v>
      </c>
      <c r="AV57" s="73"/>
      <c r="AX57" s="4" t="b">
        <f t="shared" si="20"/>
        <v>1</v>
      </c>
      <c r="AY57" s="89" t="e">
        <f>(S57/(R57+H57)-1)-VLOOKUP(AY$3,'Returns &amp; Bonus'!$A$5:$B$15,2,0)</f>
        <v>#DIV/0!</v>
      </c>
      <c r="AZ57" s="89" t="e">
        <f>(T57/(S57+I57)-1)-VLOOKUP(AZ$3,'Returns &amp; Bonus'!$A$5:$B$15,2,0)</f>
        <v>#DIV/0!</v>
      </c>
      <c r="BA57" s="89" t="e">
        <f>(U57/(T57+J57)-1)-VLOOKUP(BA$3,'Returns &amp; Bonus'!$A$5:$B$15,2,0)</f>
        <v>#DIV/0!</v>
      </c>
      <c r="BB57" s="89">
        <f>(V57/(U57+K57)-1)-VLOOKUP(BB$3,'Returns &amp; Bonus'!$A$5:$B$15,2,0)</f>
        <v>0</v>
      </c>
      <c r="BC57" s="89">
        <f>(W57/(V57+L57)-1)-VLOOKUP(BC$3,'Returns &amp; Bonus'!$A$5:$B$15,2,0)</f>
        <v>0</v>
      </c>
      <c r="BD57" s="89">
        <f>(X57/(W57+M57)-1)-VLOOKUP(BD$3,'Returns &amp; Bonus'!$A$5:$B$15,2,0)</f>
        <v>0</v>
      </c>
      <c r="BE57" s="89">
        <f>(Y57/(X57+N57)-1)-VLOOKUP(BE$3,'Returns &amp; Bonus'!$A$5:$B$15,2,0)</f>
        <v>0</v>
      </c>
      <c r="BF57" s="89">
        <f>(Z57/(Y57+O57)-1)-VLOOKUP(BF$3,'Returns &amp; Bonus'!$A$5:$B$15,2,0)</f>
        <v>0</v>
      </c>
      <c r="BG57" s="89">
        <f>(AA57/(Z57+P57)-1)-VLOOKUP(BG$3,'Returns &amp; Bonus'!$A$5:$B$15,2,0)</f>
        <v>0</v>
      </c>
      <c r="BH57" s="89">
        <f>(AB57/(AA57+Q57)-1)-VLOOKUP(BH$3,'Returns &amp; Bonus'!$A$5:$B$15,2,0)</f>
        <v>0</v>
      </c>
    </row>
    <row r="58" spans="1:60" x14ac:dyDescent="0.25">
      <c r="A58" s="77">
        <f>'Amended Data'!A58</f>
        <v>55</v>
      </c>
      <c r="B58" s="75">
        <f>'Amended Data'!K58</f>
        <v>41640</v>
      </c>
      <c r="C58" s="55">
        <f>'Amended Data'!J58</f>
        <v>8451</v>
      </c>
      <c r="D58" s="56">
        <f>'Amended Data'!L58</f>
        <v>24</v>
      </c>
      <c r="E58" s="57">
        <f>'Amended Data'!M58</f>
        <v>4807.1449999999995</v>
      </c>
      <c r="F58" s="57" t="str">
        <f>'Data &amp; Formulae'!H66</f>
        <v>Y</v>
      </c>
      <c r="G58" s="57">
        <f t="shared" si="22"/>
        <v>0</v>
      </c>
      <c r="H58" s="57">
        <f t="shared" si="22"/>
        <v>0</v>
      </c>
      <c r="I58" s="57">
        <f t="shared" si="22"/>
        <v>0</v>
      </c>
      <c r="J58" s="57">
        <f t="shared" si="22"/>
        <v>0</v>
      </c>
      <c r="K58" s="57">
        <f t="shared" si="22"/>
        <v>8451</v>
      </c>
      <c r="L58" s="57">
        <f t="shared" si="22"/>
        <v>8451</v>
      </c>
      <c r="M58" s="57">
        <f t="shared" si="22"/>
        <v>8451</v>
      </c>
      <c r="N58" s="57">
        <f t="shared" si="22"/>
        <v>8451</v>
      </c>
      <c r="O58" s="57">
        <f t="shared" si="22"/>
        <v>8451</v>
      </c>
      <c r="P58" s="57">
        <f t="shared" si="22"/>
        <v>8451</v>
      </c>
      <c r="Q58" s="57">
        <f t="shared" si="22"/>
        <v>8451</v>
      </c>
      <c r="R58" s="57">
        <f>IF(R$3=2010,G58*(1+VLOOKUP(R$3,'Returns &amp; Bonus'!$A$5:$B$15,2,0)),(G58+Q58)*(1+VLOOKUP(R$3,'Returns &amp; Bonus'!$A$5:$B$15,2,0)))</f>
        <v>0</v>
      </c>
      <c r="S58" s="57">
        <f>IF(S$3=2010,H58*(1+VLOOKUP(S$3,'Returns &amp; Bonus'!$A$5:$B$15,2,0)),(H58+R58)*(1+VLOOKUP(S$3,'Returns &amp; Bonus'!$A$5:$B$15,2,0)))</f>
        <v>0</v>
      </c>
      <c r="T58" s="57">
        <f>IF(T$3=2010,I58*(1+VLOOKUP(T$3,'Returns &amp; Bonus'!$A$5:$B$15,2,0)),(I58+S58)*(1+VLOOKUP(T$3,'Returns &amp; Bonus'!$A$5:$B$15,2,0)))</f>
        <v>0</v>
      </c>
      <c r="U58" s="57">
        <f>IF(U$3=2010,J58*(1+VLOOKUP(U$3,'Returns &amp; Bonus'!$A$5:$B$15,2,0)),(J58+T58)*(1+VLOOKUP(U$3,'Returns &amp; Bonus'!$A$5:$B$15,2,0)))</f>
        <v>0</v>
      </c>
      <c r="V58" s="57">
        <f>IF(V$3=2010,K58*(1+VLOOKUP(V$3,'Returns &amp; Bonus'!$A$5:$B$15,2,0)),(K58+U58)*(1+VLOOKUP(V$3,'Returns &amp; Bonus'!$A$5:$B$15,2,0)))</f>
        <v>8366.49</v>
      </c>
      <c r="W58" s="57">
        <f>IF(W$3=2010,L58*(1+VLOOKUP(W$3,'Returns &amp; Bonus'!$A$5:$B$15,2,0)),(L58+V58)*(1+VLOOKUP(W$3,'Returns &amp; Bonus'!$A$5:$B$15,2,0)))</f>
        <v>21694.562099999999</v>
      </c>
      <c r="X58" s="57">
        <f>IF(X$3=2010,M58*(1+VLOOKUP(X$3,'Returns &amp; Bonus'!$A$5:$B$15,2,0)),(M58+W58)*(1+VLOOKUP(X$3,'Returns &amp; Bonus'!$A$5:$B$15,2,0)))</f>
        <v>29542.650857999997</v>
      </c>
      <c r="Y58" s="57">
        <f>IF(Y$3=2010,N58*(1+VLOOKUP(Y$3,'Returns &amp; Bonus'!$A$5:$B$15,2,0)),(N58+X58)*(1+VLOOKUP(Y$3,'Returns &amp; Bonus'!$A$5:$B$15,2,0)))</f>
        <v>36093.968315099992</v>
      </c>
      <c r="Z58" s="57">
        <f>IF(Z$3=2010,O58*(1+VLOOKUP(Z$3,'Returns &amp; Bonus'!$A$5:$B$15,2,0)),(O58+Y58)*(1+VLOOKUP(Z$3,'Returns &amp; Bonus'!$A$5:$B$15,2,0)))</f>
        <v>50335.814196062987</v>
      </c>
      <c r="AA58" s="57">
        <f>IF(AA$3=2010,P58*(1+VLOOKUP(AA$3,'Returns &amp; Bonus'!$A$5:$B$15,2,0)),(P58+Z58)*(1+VLOOKUP(AA$3,'Returns &amp; Bonus'!$A$5:$B$15,2,0)))</f>
        <v>65253.363757629922</v>
      </c>
      <c r="AB58" s="81">
        <f>IF(AB$3=2010,Q58*(1+VLOOKUP(AB$3,'Returns &amp; Bonus'!$A$5:$B$15,2,0)),(Q58+AA58)*(1+VLOOKUP(AB$3,'Returns &amp; Bonus'!$A$5:$B$15,2,0)))</f>
        <v>72230.276482477318</v>
      </c>
      <c r="AC58" s="85"/>
      <c r="AD58" s="58">
        <f t="shared" si="15"/>
        <v>67423.131482477314</v>
      </c>
      <c r="AE58" s="58">
        <f t="shared" si="16"/>
        <v>0</v>
      </c>
      <c r="AF58" s="58">
        <f t="shared" si="9"/>
        <v>4807.1449999999995</v>
      </c>
      <c r="AG58" s="58">
        <f t="shared" si="10"/>
        <v>67423.131482477314</v>
      </c>
      <c r="AH58" s="55">
        <f>IF(VLOOKUP(A58,'Data &amp; Formulae'!$A$11:$F$91,6,0)="Y",BonusFundProp*AF58*VLOOKUP(YEAR(B58),'Returns &amp; Bonus'!$G$4:$I$15,3,0),0)</f>
        <v>1033.536175</v>
      </c>
      <c r="AI58" s="55">
        <f>IF(VLOOKUP(A58,'Data &amp; Formulae'!$A$11:$F$91,6,0)="Y",ClaimFundProp*AF58+AH58,0)</f>
        <v>4879.2521749999996</v>
      </c>
      <c r="AJ58" s="55">
        <f t="shared" si="17"/>
        <v>4879.2521749999996</v>
      </c>
      <c r="AK58" s="55">
        <f t="shared" si="11"/>
        <v>-72.107175000000097</v>
      </c>
      <c r="AL58" s="60"/>
      <c r="AM58" s="71">
        <f t="shared" si="18"/>
        <v>4879.2521749999996</v>
      </c>
      <c r="AN58" s="55">
        <f t="shared" si="12"/>
        <v>-72.107175000000097</v>
      </c>
      <c r="AO58" s="60"/>
      <c r="AP58" s="71">
        <f>IF(VLOOKUP(A58,'Data &amp; Formulae'!$A$11:$F$91,6,0)="Y",Scen2Bonus*AF58,0)</f>
        <v>1009.5004499999999</v>
      </c>
      <c r="AQ58" s="55">
        <f>IF(VLOOKUP(A58,'Data &amp; Formulae'!$A$11:$F$91,6,0)="Y",ClaimFundProp*AF58+AP58,0)</f>
        <v>4855.2164499999999</v>
      </c>
      <c r="AR58" s="55">
        <f t="shared" si="19"/>
        <v>4855.2164499999999</v>
      </c>
      <c r="AS58" s="55">
        <f t="shared" si="13"/>
        <v>-48.071450000000368</v>
      </c>
      <c r="AT58" s="60"/>
      <c r="AU58" s="71">
        <f>IF(VLOOKUP(A58,'Data &amp; Formulae'!$A$11:$F$91,6,0)="Y",SurrPay*AF58,0)</f>
        <v>120.178625</v>
      </c>
      <c r="AV58" s="73"/>
      <c r="AX58" s="4" t="b">
        <f t="shared" si="20"/>
        <v>1</v>
      </c>
      <c r="AY58" s="89" t="e">
        <f>(S58/(R58+H58)-1)-VLOOKUP(AY$3,'Returns &amp; Bonus'!$A$5:$B$15,2,0)</f>
        <v>#DIV/0!</v>
      </c>
      <c r="AZ58" s="89" t="e">
        <f>(T58/(S58+I58)-1)-VLOOKUP(AZ$3,'Returns &amp; Bonus'!$A$5:$B$15,2,0)</f>
        <v>#DIV/0!</v>
      </c>
      <c r="BA58" s="89" t="e">
        <f>(U58/(T58+J58)-1)-VLOOKUP(BA$3,'Returns &amp; Bonus'!$A$5:$B$15,2,0)</f>
        <v>#DIV/0!</v>
      </c>
      <c r="BB58" s="89">
        <f>(V58/(U58+K58)-1)-VLOOKUP(BB$3,'Returns &amp; Bonus'!$A$5:$B$15,2,0)</f>
        <v>0</v>
      </c>
      <c r="BC58" s="89">
        <f>(W58/(V58+L58)-1)-VLOOKUP(BC$3,'Returns &amp; Bonus'!$A$5:$B$15,2,0)</f>
        <v>0</v>
      </c>
      <c r="BD58" s="89">
        <f>(X58/(W58+M58)-1)-VLOOKUP(BD$3,'Returns &amp; Bonus'!$A$5:$B$15,2,0)</f>
        <v>0</v>
      </c>
      <c r="BE58" s="89">
        <f>(Y58/(X58+N58)-1)-VLOOKUP(BE$3,'Returns &amp; Bonus'!$A$5:$B$15,2,0)</f>
        <v>0</v>
      </c>
      <c r="BF58" s="89">
        <f>(Z58/(Y58+O58)-1)-VLOOKUP(BF$3,'Returns &amp; Bonus'!$A$5:$B$15,2,0)</f>
        <v>0</v>
      </c>
      <c r="BG58" s="89">
        <f>(AA58/(Z58+P58)-1)-VLOOKUP(BG$3,'Returns &amp; Bonus'!$A$5:$B$15,2,0)</f>
        <v>0</v>
      </c>
      <c r="BH58" s="89">
        <f>(AB58/(AA58+Q58)-1)-VLOOKUP(BH$3,'Returns &amp; Bonus'!$A$5:$B$15,2,0)</f>
        <v>-1.2836953722228372E-16</v>
      </c>
    </row>
    <row r="59" spans="1:60" x14ac:dyDescent="0.25">
      <c r="A59" s="77">
        <f>'Amended Data'!A59</f>
        <v>56</v>
      </c>
      <c r="B59" s="75">
        <f>'Amended Data'!K59</f>
        <v>41640</v>
      </c>
      <c r="C59" s="55">
        <f>'Amended Data'!J59</f>
        <v>4961</v>
      </c>
      <c r="D59" s="56">
        <f>'Amended Data'!L59</f>
        <v>22</v>
      </c>
      <c r="E59" s="57">
        <f>'Amended Data'!M59</f>
        <v>42401.420143127449</v>
      </c>
      <c r="F59" s="57" t="str">
        <f>'Data &amp; Formulae'!H67</f>
        <v>N</v>
      </c>
      <c r="G59" s="57">
        <f t="shared" si="22"/>
        <v>0</v>
      </c>
      <c r="H59" s="57">
        <f t="shared" si="22"/>
        <v>0</v>
      </c>
      <c r="I59" s="57">
        <f t="shared" si="22"/>
        <v>0</v>
      </c>
      <c r="J59" s="57">
        <f t="shared" si="22"/>
        <v>0</v>
      </c>
      <c r="K59" s="57">
        <f t="shared" si="22"/>
        <v>4961</v>
      </c>
      <c r="L59" s="57">
        <f t="shared" si="22"/>
        <v>4961</v>
      </c>
      <c r="M59" s="57">
        <f t="shared" si="22"/>
        <v>4961</v>
      </c>
      <c r="N59" s="57">
        <f t="shared" si="22"/>
        <v>4961</v>
      </c>
      <c r="O59" s="57">
        <f t="shared" si="22"/>
        <v>4961</v>
      </c>
      <c r="P59" s="57">
        <f t="shared" si="22"/>
        <v>4961</v>
      </c>
      <c r="Q59" s="57">
        <f t="shared" si="22"/>
        <v>4961</v>
      </c>
      <c r="R59" s="57">
        <f>IF(R$3=2010,G59*(1+VLOOKUP(R$3,'Returns &amp; Bonus'!$A$5:$B$15,2,0)),(G59+Q59)*(1+VLOOKUP(R$3,'Returns &amp; Bonus'!$A$5:$B$15,2,0)))</f>
        <v>0</v>
      </c>
      <c r="S59" s="57">
        <f>IF(S$3=2010,H59*(1+VLOOKUP(S$3,'Returns &amp; Bonus'!$A$5:$B$15,2,0)),(H59+R59)*(1+VLOOKUP(S$3,'Returns &amp; Bonus'!$A$5:$B$15,2,0)))</f>
        <v>0</v>
      </c>
      <c r="T59" s="57">
        <f>IF(T$3=2010,I59*(1+VLOOKUP(T$3,'Returns &amp; Bonus'!$A$5:$B$15,2,0)),(I59+S59)*(1+VLOOKUP(T$3,'Returns &amp; Bonus'!$A$5:$B$15,2,0)))</f>
        <v>0</v>
      </c>
      <c r="U59" s="57">
        <f>IF(U$3=2010,J59*(1+VLOOKUP(U$3,'Returns &amp; Bonus'!$A$5:$B$15,2,0)),(J59+T59)*(1+VLOOKUP(U$3,'Returns &amp; Bonus'!$A$5:$B$15,2,0)))</f>
        <v>0</v>
      </c>
      <c r="V59" s="57">
        <f>IF(V$3=2010,K59*(1+VLOOKUP(V$3,'Returns &amp; Bonus'!$A$5:$B$15,2,0)),(K59+U59)*(1+VLOOKUP(V$3,'Returns &amp; Bonus'!$A$5:$B$15,2,0)))</f>
        <v>4911.3900000000003</v>
      </c>
      <c r="W59" s="57">
        <f>IF(W$3=2010,L59*(1+VLOOKUP(W$3,'Returns &amp; Bonus'!$A$5:$B$15,2,0)),(L59+V59)*(1+VLOOKUP(W$3,'Returns &amp; Bonus'!$A$5:$B$15,2,0)))</f>
        <v>12735.383099999999</v>
      </c>
      <c r="X59" s="57">
        <f>IF(X$3=2010,M59*(1+VLOOKUP(X$3,'Returns &amp; Bonus'!$A$5:$B$15,2,0)),(M59+W59)*(1+VLOOKUP(X$3,'Returns &amp; Bonus'!$A$5:$B$15,2,0)))</f>
        <v>17342.455437999997</v>
      </c>
      <c r="Y59" s="57">
        <f>IF(Y$3=2010,N59*(1+VLOOKUP(Y$3,'Returns &amp; Bonus'!$A$5:$B$15,2,0)),(N59+X59)*(1+VLOOKUP(Y$3,'Returns &amp; Bonus'!$A$5:$B$15,2,0)))</f>
        <v>21188.282666099996</v>
      </c>
      <c r="Z59" s="57">
        <f>IF(Z$3=2010,O59*(1+VLOOKUP(Z$3,'Returns &amp; Bonus'!$A$5:$B$15,2,0)),(O59+Y59)*(1+VLOOKUP(Z$3,'Returns &amp; Bonus'!$A$5:$B$15,2,0)))</f>
        <v>29548.689412692995</v>
      </c>
      <c r="AA59" s="57">
        <f>IF(AA$3=2010,P59*(1+VLOOKUP(AA$3,'Returns &amp; Bonus'!$A$5:$B$15,2,0)),(P59+Z59)*(1+VLOOKUP(AA$3,'Returns &amp; Bonus'!$A$5:$B$15,2,0)))</f>
        <v>38305.755248089234</v>
      </c>
      <c r="AB59" s="81">
        <f>IF(AB$3=2010,Q59*(1+VLOOKUP(AB$3,'Returns &amp; Bonus'!$A$5:$B$15,2,0)),(Q59+AA59)*(1+VLOOKUP(AB$3,'Returns &amp; Bonus'!$A$5:$B$15,2,0)))</f>
        <v>42401.420143127449</v>
      </c>
      <c r="AC59" s="85"/>
      <c r="AD59" s="58">
        <f t="shared" si="15"/>
        <v>0</v>
      </c>
      <c r="AE59" s="58">
        <f t="shared" si="16"/>
        <v>0</v>
      </c>
      <c r="AF59" s="58">
        <f t="shared" si="9"/>
        <v>42401.420143127449</v>
      </c>
      <c r="AG59" s="58">
        <f t="shared" si="10"/>
        <v>0</v>
      </c>
      <c r="AH59" s="55">
        <f>IF(VLOOKUP(A59,'Data &amp; Formulae'!$A$11:$F$91,6,0)="Y",BonusFundProp*AF59*VLOOKUP(YEAR(B59),'Returns &amp; Bonus'!$G$4:$I$15,3,0),0)</f>
        <v>0</v>
      </c>
      <c r="AI59" s="55">
        <f>IF(VLOOKUP(A59,'Data &amp; Formulae'!$A$11:$F$91,6,0)="Y",ClaimFundProp*AF59+AH59,0)</f>
        <v>0</v>
      </c>
      <c r="AJ59" s="55">
        <f t="shared" si="17"/>
        <v>0</v>
      </c>
      <c r="AK59" s="55">
        <f t="shared" si="11"/>
        <v>0</v>
      </c>
      <c r="AL59" s="60"/>
      <c r="AM59" s="71">
        <f t="shared" si="18"/>
        <v>0</v>
      </c>
      <c r="AN59" s="55">
        <f t="shared" si="12"/>
        <v>0</v>
      </c>
      <c r="AO59" s="60"/>
      <c r="AP59" s="71">
        <f>IF(VLOOKUP(A59,'Data &amp; Formulae'!$A$11:$F$91,6,0)="Y",Scen2Bonus*AF59,0)</f>
        <v>0</v>
      </c>
      <c r="AQ59" s="55">
        <f>IF(VLOOKUP(A59,'Data &amp; Formulae'!$A$11:$F$91,6,0)="Y",ClaimFundProp*AF59+AP59,0)</f>
        <v>0</v>
      </c>
      <c r="AR59" s="55">
        <f t="shared" si="19"/>
        <v>0</v>
      </c>
      <c r="AS59" s="55">
        <f t="shared" si="13"/>
        <v>0</v>
      </c>
      <c r="AT59" s="60"/>
      <c r="AU59" s="71">
        <f>IF(VLOOKUP(A59,'Data &amp; Formulae'!$A$11:$F$91,6,0)="Y",SurrPay*AF59,0)</f>
        <v>0</v>
      </c>
      <c r="AV59" s="73"/>
      <c r="AX59" s="4" t="b">
        <f t="shared" si="20"/>
        <v>1</v>
      </c>
      <c r="AY59" s="89" t="e">
        <f>(S59/(R59+H59)-1)-VLOOKUP(AY$3,'Returns &amp; Bonus'!$A$5:$B$15,2,0)</f>
        <v>#DIV/0!</v>
      </c>
      <c r="AZ59" s="89" t="e">
        <f>(T59/(S59+I59)-1)-VLOOKUP(AZ$3,'Returns &amp; Bonus'!$A$5:$B$15,2,0)</f>
        <v>#DIV/0!</v>
      </c>
      <c r="BA59" s="89" t="e">
        <f>(U59/(T59+J59)-1)-VLOOKUP(BA$3,'Returns &amp; Bonus'!$A$5:$B$15,2,0)</f>
        <v>#DIV/0!</v>
      </c>
      <c r="BB59" s="89">
        <f>(V59/(U59+K59)-1)-VLOOKUP(BB$3,'Returns &amp; Bonus'!$A$5:$B$15,2,0)</f>
        <v>1.0234868508263162E-16</v>
      </c>
      <c r="BC59" s="89">
        <f>(W59/(V59+L59)-1)-VLOOKUP(BC$3,'Returns &amp; Bonus'!$A$5:$B$15,2,0)</f>
        <v>0</v>
      </c>
      <c r="BD59" s="89">
        <f>(X59/(W59+M59)-1)-VLOOKUP(BD$3,'Returns &amp; Bonus'!$A$5:$B$15,2,0)</f>
        <v>-1.2836953722228372E-16</v>
      </c>
      <c r="BE59" s="89">
        <f>(Y59/(X59+N59)-1)-VLOOKUP(BE$3,'Returns &amp; Bonus'!$A$5:$B$15,2,0)</f>
        <v>0</v>
      </c>
      <c r="BF59" s="89">
        <f>(Z59/(Y59+O59)-1)-VLOOKUP(BF$3,'Returns &amp; Bonus'!$A$5:$B$15,2,0)</f>
        <v>0</v>
      </c>
      <c r="BG59" s="89">
        <f>(AA59/(Z59+P59)-1)-VLOOKUP(BG$3,'Returns &amp; Bonus'!$A$5:$B$15,2,0)</f>
        <v>0</v>
      </c>
      <c r="BH59" s="89">
        <f>(AB59/(AA59+Q59)-1)-VLOOKUP(BH$3,'Returns &amp; Bonus'!$A$5:$B$15,2,0)</f>
        <v>0</v>
      </c>
    </row>
    <row r="60" spans="1:60" x14ac:dyDescent="0.25">
      <c r="A60" s="77">
        <f>'Amended Data'!A60</f>
        <v>57</v>
      </c>
      <c r="B60" s="75">
        <f>'Amended Data'!K60</f>
        <v>42005</v>
      </c>
      <c r="C60" s="55">
        <f>'Amended Data'!J60</f>
        <v>9835</v>
      </c>
      <c r="D60" s="56">
        <f>'Amended Data'!L60</f>
        <v>19</v>
      </c>
      <c r="E60" s="57">
        <f>'Amended Data'!M60</f>
        <v>717.72749999999996</v>
      </c>
      <c r="F60" s="57" t="str">
        <f>'Data &amp; Formulae'!H68</f>
        <v>Y</v>
      </c>
      <c r="G60" s="57">
        <f t="shared" si="22"/>
        <v>0</v>
      </c>
      <c r="H60" s="57">
        <f t="shared" si="22"/>
        <v>0</v>
      </c>
      <c r="I60" s="57">
        <f t="shared" si="22"/>
        <v>0</v>
      </c>
      <c r="J60" s="57">
        <f t="shared" si="22"/>
        <v>0</v>
      </c>
      <c r="K60" s="57">
        <f t="shared" si="22"/>
        <v>0</v>
      </c>
      <c r="L60" s="57">
        <f t="shared" si="22"/>
        <v>9835</v>
      </c>
      <c r="M60" s="57">
        <f t="shared" si="22"/>
        <v>9835</v>
      </c>
      <c r="N60" s="57">
        <f t="shared" si="22"/>
        <v>9835</v>
      </c>
      <c r="O60" s="57">
        <f t="shared" si="22"/>
        <v>9835</v>
      </c>
      <c r="P60" s="57">
        <f t="shared" si="22"/>
        <v>9835</v>
      </c>
      <c r="Q60" s="57">
        <f t="shared" si="22"/>
        <v>9835</v>
      </c>
      <c r="R60" s="57">
        <f>IF(R$3=2010,G60*(1+VLOOKUP(R$3,'Returns &amp; Bonus'!$A$5:$B$15,2,0)),(G60+Q60)*(1+VLOOKUP(R$3,'Returns &amp; Bonus'!$A$5:$B$15,2,0)))</f>
        <v>0</v>
      </c>
      <c r="S60" s="57">
        <f>IF(S$3=2010,H60*(1+VLOOKUP(S$3,'Returns &amp; Bonus'!$A$5:$B$15,2,0)),(H60+R60)*(1+VLOOKUP(S$3,'Returns &amp; Bonus'!$A$5:$B$15,2,0)))</f>
        <v>0</v>
      </c>
      <c r="T60" s="57">
        <f>IF(T$3=2010,I60*(1+VLOOKUP(T$3,'Returns &amp; Bonus'!$A$5:$B$15,2,0)),(I60+S60)*(1+VLOOKUP(T$3,'Returns &amp; Bonus'!$A$5:$B$15,2,0)))</f>
        <v>0</v>
      </c>
      <c r="U60" s="57">
        <f>IF(U$3=2010,J60*(1+VLOOKUP(U$3,'Returns &amp; Bonus'!$A$5:$B$15,2,0)),(J60+T60)*(1+VLOOKUP(U$3,'Returns &amp; Bonus'!$A$5:$B$15,2,0)))</f>
        <v>0</v>
      </c>
      <c r="V60" s="57">
        <f>IF(V$3=2010,K60*(1+VLOOKUP(V$3,'Returns &amp; Bonus'!$A$5:$B$15,2,0)),(K60+U60)*(1+VLOOKUP(V$3,'Returns &amp; Bonus'!$A$5:$B$15,2,0)))</f>
        <v>0</v>
      </c>
      <c r="W60" s="57">
        <f>IF(W$3=2010,L60*(1+VLOOKUP(W$3,'Returns &amp; Bonus'!$A$5:$B$15,2,0)),(L60+V60)*(1+VLOOKUP(W$3,'Returns &amp; Bonus'!$A$5:$B$15,2,0)))</f>
        <v>12687.15</v>
      </c>
      <c r="X60" s="57">
        <f>IF(X$3=2010,M60*(1+VLOOKUP(X$3,'Returns &amp; Bonus'!$A$5:$B$15,2,0)),(M60+W60)*(1+VLOOKUP(X$3,'Returns &amp; Bonus'!$A$5:$B$15,2,0)))</f>
        <v>22071.707000000002</v>
      </c>
      <c r="Y60" s="57">
        <f>IF(Y$3=2010,N60*(1+VLOOKUP(Y$3,'Returns &amp; Bonus'!$A$5:$B$15,2,0)),(N60+X60)*(1+VLOOKUP(Y$3,'Returns &amp; Bonus'!$A$5:$B$15,2,0)))</f>
        <v>30311.371650000001</v>
      </c>
      <c r="Z60" s="57">
        <f>IF(Z$3=2010,O60*(1+VLOOKUP(Z$3,'Returns &amp; Bonus'!$A$5:$B$15,2,0)),(O60+Y60)*(1+VLOOKUP(Z$3,'Returns &amp; Bonus'!$A$5:$B$15,2,0)))</f>
        <v>45365.3999645</v>
      </c>
      <c r="AA60" s="57">
        <f>IF(AA$3=2010,P60*(1+VLOOKUP(AA$3,'Returns &amp; Bonus'!$A$5:$B$15,2,0)),(P60+Z60)*(1+VLOOKUP(AA$3,'Returns &amp; Bonus'!$A$5:$B$15,2,0)))</f>
        <v>61272.443960595003</v>
      </c>
      <c r="AB60" s="81">
        <f>IF(AB$3=2010,Q60*(1+VLOOKUP(AB$3,'Returns &amp; Bonus'!$A$5:$B$15,2,0)),(Q60+AA60)*(1+VLOOKUP(AB$3,'Returns &amp; Bonus'!$A$5:$B$15,2,0)))</f>
        <v>69685.295081383098</v>
      </c>
      <c r="AC60" s="85"/>
      <c r="AD60" s="58">
        <f t="shared" si="15"/>
        <v>68967.567581383104</v>
      </c>
      <c r="AE60" s="58">
        <f t="shared" si="16"/>
        <v>0</v>
      </c>
      <c r="AF60" s="58">
        <f t="shared" si="9"/>
        <v>717.72749999999996</v>
      </c>
      <c r="AG60" s="58">
        <f t="shared" si="10"/>
        <v>68967.567581383104</v>
      </c>
      <c r="AH60" s="55">
        <f>IF(VLOOKUP(A60,'Data &amp; Formulae'!$A$11:$F$91,6,0)="Y",BonusFundProp*AF60*VLOOKUP(YEAR(B60),'Returns &amp; Bonus'!$G$4:$I$15,3,0),0)</f>
        <v>157.90005000000002</v>
      </c>
      <c r="AI60" s="55">
        <f>IF(VLOOKUP(A60,'Data &amp; Formulae'!$A$11:$F$91,6,0)="Y",ClaimFundProp*AF60+AH60,0)</f>
        <v>732.08204999999998</v>
      </c>
      <c r="AJ60" s="55">
        <f t="shared" si="17"/>
        <v>732.08204999999998</v>
      </c>
      <c r="AK60" s="55">
        <f t="shared" si="11"/>
        <v>-14.354550000000017</v>
      </c>
      <c r="AL60" s="60"/>
      <c r="AM60" s="71">
        <f t="shared" si="18"/>
        <v>732.08204999999998</v>
      </c>
      <c r="AN60" s="55">
        <f t="shared" si="12"/>
        <v>-14.354550000000017</v>
      </c>
      <c r="AO60" s="60"/>
      <c r="AP60" s="71">
        <f>IF(VLOOKUP(A60,'Data &amp; Formulae'!$A$11:$F$91,6,0)="Y",Scen2Bonus*AF60,0)</f>
        <v>150.72277499999998</v>
      </c>
      <c r="AQ60" s="55">
        <f>IF(VLOOKUP(A60,'Data &amp; Formulae'!$A$11:$F$91,6,0)="Y",ClaimFundProp*AF60+AP60,0)</f>
        <v>724.90477499999997</v>
      </c>
      <c r="AR60" s="55">
        <f t="shared" si="19"/>
        <v>724.90477499999997</v>
      </c>
      <c r="AS60" s="55">
        <f t="shared" si="13"/>
        <v>-7.1772750000000087</v>
      </c>
      <c r="AT60" s="60"/>
      <c r="AU60" s="71">
        <f>IF(VLOOKUP(A60,'Data &amp; Formulae'!$A$11:$F$91,6,0)="Y",SurrPay*AF60,0)</f>
        <v>17.943187500000001</v>
      </c>
      <c r="AV60" s="73"/>
      <c r="AX60" s="4" t="b">
        <f t="shared" si="20"/>
        <v>1</v>
      </c>
      <c r="AY60" s="89" t="e">
        <f>(S60/(R60+H60)-1)-VLOOKUP(AY$3,'Returns &amp; Bonus'!$A$5:$B$15,2,0)</f>
        <v>#DIV/0!</v>
      </c>
      <c r="AZ60" s="89" t="e">
        <f>(T60/(S60+I60)-1)-VLOOKUP(AZ$3,'Returns &amp; Bonus'!$A$5:$B$15,2,0)</f>
        <v>#DIV/0!</v>
      </c>
      <c r="BA60" s="89" t="e">
        <f>(U60/(T60+J60)-1)-VLOOKUP(BA$3,'Returns &amp; Bonus'!$A$5:$B$15,2,0)</f>
        <v>#DIV/0!</v>
      </c>
      <c r="BB60" s="89" t="e">
        <f>(V60/(U60+K60)-1)-VLOOKUP(BB$3,'Returns &amp; Bonus'!$A$5:$B$15,2,0)</f>
        <v>#DIV/0!</v>
      </c>
      <c r="BC60" s="89">
        <f>(W60/(V60+L60)-1)-VLOOKUP(BC$3,'Returns &amp; Bonus'!$A$5:$B$15,2,0)</f>
        <v>0</v>
      </c>
      <c r="BD60" s="89">
        <f>(X60/(W60+M60)-1)-VLOOKUP(BD$3,'Returns &amp; Bonus'!$A$5:$B$15,2,0)</f>
        <v>0</v>
      </c>
      <c r="BE60" s="89">
        <f>(Y60/(X60+N60)-1)-VLOOKUP(BE$3,'Returns &amp; Bonus'!$A$5:$B$15,2,0)</f>
        <v>0</v>
      </c>
      <c r="BF60" s="89">
        <f>(Z60/(Y60+O60)-1)-VLOOKUP(BF$3,'Returns &amp; Bonus'!$A$5:$B$15,2,0)</f>
        <v>0</v>
      </c>
      <c r="BG60" s="89">
        <f>(AA60/(Z60+P60)-1)-VLOOKUP(BG$3,'Returns &amp; Bonus'!$A$5:$B$15,2,0)</f>
        <v>0</v>
      </c>
      <c r="BH60" s="89">
        <f>(AB60/(AA60+Q60)-1)-VLOOKUP(BH$3,'Returns &amp; Bonus'!$A$5:$B$15,2,0)</f>
        <v>-1.2836953722228372E-16</v>
      </c>
    </row>
    <row r="61" spans="1:60" x14ac:dyDescent="0.25">
      <c r="A61" s="77">
        <f>'Amended Data'!A61</f>
        <v>58</v>
      </c>
      <c r="B61" s="75">
        <f>'Amended Data'!K61</f>
        <v>42005</v>
      </c>
      <c r="C61" s="55">
        <f>'Amended Data'!J61</f>
        <v>4115</v>
      </c>
      <c r="D61" s="56">
        <f>'Amended Data'!L61</f>
        <v>19</v>
      </c>
      <c r="E61" s="57">
        <f>'Amended Data'!M61</f>
        <v>9219.3499999999985</v>
      </c>
      <c r="F61" s="57" t="str">
        <f>'Data &amp; Formulae'!H69</f>
        <v>Y</v>
      </c>
      <c r="G61" s="57">
        <f t="shared" si="22"/>
        <v>0</v>
      </c>
      <c r="H61" s="57">
        <f t="shared" si="22"/>
        <v>0</v>
      </c>
      <c r="I61" s="57">
        <f t="shared" si="22"/>
        <v>0</v>
      </c>
      <c r="J61" s="57">
        <f t="shared" si="22"/>
        <v>0</v>
      </c>
      <c r="K61" s="57">
        <f t="shared" si="22"/>
        <v>0</v>
      </c>
      <c r="L61" s="57">
        <f t="shared" si="22"/>
        <v>4115</v>
      </c>
      <c r="M61" s="57">
        <f t="shared" si="22"/>
        <v>4115</v>
      </c>
      <c r="N61" s="57">
        <f t="shared" si="22"/>
        <v>4115</v>
      </c>
      <c r="O61" s="57">
        <f t="shared" si="22"/>
        <v>4115</v>
      </c>
      <c r="P61" s="57">
        <f t="shared" si="22"/>
        <v>4115</v>
      </c>
      <c r="Q61" s="57">
        <f t="shared" si="22"/>
        <v>4115</v>
      </c>
      <c r="R61" s="57">
        <f>IF(R$3=2010,G61*(1+VLOOKUP(R$3,'Returns &amp; Bonus'!$A$5:$B$15,2,0)),(G61+Q61)*(1+VLOOKUP(R$3,'Returns &amp; Bonus'!$A$5:$B$15,2,0)))</f>
        <v>0</v>
      </c>
      <c r="S61" s="57">
        <f>IF(S$3=2010,H61*(1+VLOOKUP(S$3,'Returns &amp; Bonus'!$A$5:$B$15,2,0)),(H61+R61)*(1+VLOOKUP(S$3,'Returns &amp; Bonus'!$A$5:$B$15,2,0)))</f>
        <v>0</v>
      </c>
      <c r="T61" s="57">
        <f>IF(T$3=2010,I61*(1+VLOOKUP(T$3,'Returns &amp; Bonus'!$A$5:$B$15,2,0)),(I61+S61)*(1+VLOOKUP(T$3,'Returns &amp; Bonus'!$A$5:$B$15,2,0)))</f>
        <v>0</v>
      </c>
      <c r="U61" s="57">
        <f>IF(U$3=2010,J61*(1+VLOOKUP(U$3,'Returns &amp; Bonus'!$A$5:$B$15,2,0)),(J61+T61)*(1+VLOOKUP(U$3,'Returns &amp; Bonus'!$A$5:$B$15,2,0)))</f>
        <v>0</v>
      </c>
      <c r="V61" s="57">
        <f>IF(V$3=2010,K61*(1+VLOOKUP(V$3,'Returns &amp; Bonus'!$A$5:$B$15,2,0)),(K61+U61)*(1+VLOOKUP(V$3,'Returns &amp; Bonus'!$A$5:$B$15,2,0)))</f>
        <v>0</v>
      </c>
      <c r="W61" s="57">
        <f>IF(W$3=2010,L61*(1+VLOOKUP(W$3,'Returns &amp; Bonus'!$A$5:$B$15,2,0)),(L61+V61)*(1+VLOOKUP(W$3,'Returns &amp; Bonus'!$A$5:$B$15,2,0)))</f>
        <v>5308.35</v>
      </c>
      <c r="X61" s="57">
        <f>IF(X$3=2010,M61*(1+VLOOKUP(X$3,'Returns &amp; Bonus'!$A$5:$B$15,2,0)),(M61+W61)*(1+VLOOKUP(X$3,'Returns &amp; Bonus'!$A$5:$B$15,2,0)))</f>
        <v>9234.8829999999998</v>
      </c>
      <c r="Y61" s="57">
        <f>IF(Y$3=2010,N61*(1+VLOOKUP(Y$3,'Returns &amp; Bonus'!$A$5:$B$15,2,0)),(N61+X61)*(1+VLOOKUP(Y$3,'Returns &amp; Bonus'!$A$5:$B$15,2,0)))</f>
        <v>12682.388849999999</v>
      </c>
      <c r="Z61" s="57">
        <f>IF(Z$3=2010,O61*(1+VLOOKUP(Z$3,'Returns &amp; Bonus'!$A$5:$B$15,2,0)),(O61+Y61)*(1+VLOOKUP(Z$3,'Returns &amp; Bonus'!$A$5:$B$15,2,0)))</f>
        <v>18981.049400499996</v>
      </c>
      <c r="AA61" s="57">
        <f>IF(AA$3=2010,P61*(1+VLOOKUP(AA$3,'Returns &amp; Bonus'!$A$5:$B$15,2,0)),(P61+Z61)*(1+VLOOKUP(AA$3,'Returns &amp; Bonus'!$A$5:$B$15,2,0)))</f>
        <v>25636.614834554999</v>
      </c>
      <c r="AB61" s="81">
        <f>IF(AB$3=2010,Q61*(1+VLOOKUP(AB$3,'Returns &amp; Bonus'!$A$5:$B$15,2,0)),(Q61+AA61)*(1+VLOOKUP(AB$3,'Returns &amp; Bonus'!$A$5:$B$15,2,0)))</f>
        <v>29156.582537863898</v>
      </c>
      <c r="AC61" s="85"/>
      <c r="AD61" s="58">
        <f t="shared" si="15"/>
        <v>19937.2325378639</v>
      </c>
      <c r="AE61" s="58">
        <f t="shared" si="16"/>
        <v>0</v>
      </c>
      <c r="AF61" s="58">
        <f t="shared" si="9"/>
        <v>9219.3499999999985</v>
      </c>
      <c r="AG61" s="58">
        <f t="shared" si="10"/>
        <v>19937.2325378639</v>
      </c>
      <c r="AH61" s="55">
        <f>IF(VLOOKUP(A61,'Data &amp; Formulae'!$A$11:$F$91,6,0)="Y",BonusFundProp*AF61*VLOOKUP(YEAR(B61),'Returns &amp; Bonus'!$G$4:$I$15,3,0),0)</f>
        <v>2028.2570000000001</v>
      </c>
      <c r="AI61" s="55">
        <f>IF(VLOOKUP(A61,'Data &amp; Formulae'!$A$11:$F$91,6,0)="Y",ClaimFundProp*AF61+AH61,0)</f>
        <v>9403.7369999999992</v>
      </c>
      <c r="AJ61" s="55">
        <f t="shared" si="17"/>
        <v>9403.7369999999992</v>
      </c>
      <c r="AK61" s="55">
        <f t="shared" si="11"/>
        <v>-184.38700000000063</v>
      </c>
      <c r="AL61" s="60"/>
      <c r="AM61" s="71">
        <f t="shared" si="18"/>
        <v>9403.7369999999992</v>
      </c>
      <c r="AN61" s="55">
        <f t="shared" si="12"/>
        <v>-184.38700000000063</v>
      </c>
      <c r="AO61" s="60"/>
      <c r="AP61" s="71">
        <f>IF(VLOOKUP(A61,'Data &amp; Formulae'!$A$11:$F$91,6,0)="Y",Scen2Bonus*AF61,0)</f>
        <v>1936.0634999999995</v>
      </c>
      <c r="AQ61" s="55">
        <f>IF(VLOOKUP(A61,'Data &amp; Formulae'!$A$11:$F$91,6,0)="Y",ClaimFundProp*AF61+AP61,0)</f>
        <v>9311.5434999999998</v>
      </c>
      <c r="AR61" s="55">
        <f t="shared" si="19"/>
        <v>9311.5434999999998</v>
      </c>
      <c r="AS61" s="55">
        <f t="shared" si="13"/>
        <v>-92.193500000001222</v>
      </c>
      <c r="AT61" s="60"/>
      <c r="AU61" s="71">
        <f>IF(VLOOKUP(A61,'Data &amp; Formulae'!$A$11:$F$91,6,0)="Y",SurrPay*AF61,0)</f>
        <v>230.48374999999999</v>
      </c>
      <c r="AV61" s="73"/>
      <c r="AX61" s="4" t="b">
        <f t="shared" si="20"/>
        <v>1</v>
      </c>
      <c r="AY61" s="89" t="e">
        <f>(S61/(R61+H61)-1)-VLOOKUP(AY$3,'Returns &amp; Bonus'!$A$5:$B$15,2,0)</f>
        <v>#DIV/0!</v>
      </c>
      <c r="AZ61" s="89" t="e">
        <f>(T61/(S61+I61)-1)-VLOOKUP(AZ$3,'Returns &amp; Bonus'!$A$5:$B$15,2,0)</f>
        <v>#DIV/0!</v>
      </c>
      <c r="BA61" s="89" t="e">
        <f>(U61/(T61+J61)-1)-VLOOKUP(BA$3,'Returns &amp; Bonus'!$A$5:$B$15,2,0)</f>
        <v>#DIV/0!</v>
      </c>
      <c r="BB61" s="89" t="e">
        <f>(V61/(U61+K61)-1)-VLOOKUP(BB$3,'Returns &amp; Bonus'!$A$5:$B$15,2,0)</f>
        <v>#DIV/0!</v>
      </c>
      <c r="BC61" s="89">
        <f>(W61/(V61+L61)-1)-VLOOKUP(BC$3,'Returns &amp; Bonus'!$A$5:$B$15,2,0)</f>
        <v>0</v>
      </c>
      <c r="BD61" s="89">
        <f>(X61/(W61+M61)-1)-VLOOKUP(BD$3,'Returns &amp; Bonus'!$A$5:$B$15,2,0)</f>
        <v>0</v>
      </c>
      <c r="BE61" s="89">
        <f>(Y61/(X61+N61)-1)-VLOOKUP(BE$3,'Returns &amp; Bonus'!$A$5:$B$15,2,0)</f>
        <v>0</v>
      </c>
      <c r="BF61" s="89">
        <f>(Z61/(Y61+O61)-1)-VLOOKUP(BF$3,'Returns &amp; Bonus'!$A$5:$B$15,2,0)</f>
        <v>0</v>
      </c>
      <c r="BG61" s="89">
        <f>(AA61/(Z61+P61)-1)-VLOOKUP(BG$3,'Returns &amp; Bonus'!$A$5:$B$15,2,0)</f>
        <v>0</v>
      </c>
      <c r="BH61" s="89">
        <f>(AB61/(AA61+Q61)-1)-VLOOKUP(BH$3,'Returns &amp; Bonus'!$A$5:$B$15,2,0)</f>
        <v>0</v>
      </c>
    </row>
    <row r="62" spans="1:60" x14ac:dyDescent="0.25">
      <c r="A62" s="77">
        <f>'Amended Data'!A62</f>
        <v>59</v>
      </c>
      <c r="B62" s="75">
        <f>'Amended Data'!K62</f>
        <v>42005</v>
      </c>
      <c r="C62" s="55">
        <f>'Amended Data'!J62</f>
        <v>496</v>
      </c>
      <c r="D62" s="56">
        <f>'Amended Data'!L62</f>
        <v>17</v>
      </c>
      <c r="E62" s="57">
        <f>'Amended Data'!M62</f>
        <v>3514.37787090656</v>
      </c>
      <c r="F62" s="57" t="str">
        <f>'Data &amp; Formulae'!H70</f>
        <v>N</v>
      </c>
      <c r="G62" s="57">
        <f t="shared" si="22"/>
        <v>0</v>
      </c>
      <c r="H62" s="57">
        <f t="shared" si="22"/>
        <v>0</v>
      </c>
      <c r="I62" s="57">
        <f t="shared" si="22"/>
        <v>0</v>
      </c>
      <c r="J62" s="57">
        <f t="shared" si="22"/>
        <v>0</v>
      </c>
      <c r="K62" s="57">
        <f t="shared" si="22"/>
        <v>0</v>
      </c>
      <c r="L62" s="57">
        <f t="shared" si="22"/>
        <v>496</v>
      </c>
      <c r="M62" s="57">
        <f t="shared" si="22"/>
        <v>496</v>
      </c>
      <c r="N62" s="57">
        <f t="shared" si="22"/>
        <v>496</v>
      </c>
      <c r="O62" s="57">
        <f t="shared" si="22"/>
        <v>496</v>
      </c>
      <c r="P62" s="57">
        <f t="shared" si="22"/>
        <v>496</v>
      </c>
      <c r="Q62" s="57">
        <f t="shared" si="22"/>
        <v>496</v>
      </c>
      <c r="R62" s="57">
        <f>IF(R$3=2010,G62*(1+VLOOKUP(R$3,'Returns &amp; Bonus'!$A$5:$B$15,2,0)),(G62+Q62)*(1+VLOOKUP(R$3,'Returns &amp; Bonus'!$A$5:$B$15,2,0)))</f>
        <v>0</v>
      </c>
      <c r="S62" s="57">
        <f>IF(S$3=2010,H62*(1+VLOOKUP(S$3,'Returns &amp; Bonus'!$A$5:$B$15,2,0)),(H62+R62)*(1+VLOOKUP(S$3,'Returns &amp; Bonus'!$A$5:$B$15,2,0)))</f>
        <v>0</v>
      </c>
      <c r="T62" s="57">
        <f>IF(T$3=2010,I62*(1+VLOOKUP(T$3,'Returns &amp; Bonus'!$A$5:$B$15,2,0)),(I62+S62)*(1+VLOOKUP(T$3,'Returns &amp; Bonus'!$A$5:$B$15,2,0)))</f>
        <v>0</v>
      </c>
      <c r="U62" s="57">
        <f>IF(U$3=2010,J62*(1+VLOOKUP(U$3,'Returns &amp; Bonus'!$A$5:$B$15,2,0)),(J62+T62)*(1+VLOOKUP(U$3,'Returns &amp; Bonus'!$A$5:$B$15,2,0)))</f>
        <v>0</v>
      </c>
      <c r="V62" s="57">
        <f>IF(V$3=2010,K62*(1+VLOOKUP(V$3,'Returns &amp; Bonus'!$A$5:$B$15,2,0)),(K62+U62)*(1+VLOOKUP(V$3,'Returns &amp; Bonus'!$A$5:$B$15,2,0)))</f>
        <v>0</v>
      </c>
      <c r="W62" s="57">
        <f>IF(W$3=2010,L62*(1+VLOOKUP(W$3,'Returns &amp; Bonus'!$A$5:$B$15,2,0)),(L62+V62)*(1+VLOOKUP(W$3,'Returns &amp; Bonus'!$A$5:$B$15,2,0)))</f>
        <v>639.84</v>
      </c>
      <c r="X62" s="57">
        <f>IF(X$3=2010,M62*(1+VLOOKUP(X$3,'Returns &amp; Bonus'!$A$5:$B$15,2,0)),(M62+W62)*(1+VLOOKUP(X$3,'Returns &amp; Bonus'!$A$5:$B$15,2,0)))</f>
        <v>1113.1232000000002</v>
      </c>
      <c r="Y62" s="57">
        <f>IF(Y$3=2010,N62*(1+VLOOKUP(Y$3,'Returns &amp; Bonus'!$A$5:$B$15,2,0)),(N62+X62)*(1+VLOOKUP(Y$3,'Returns &amp; Bonus'!$A$5:$B$15,2,0)))</f>
        <v>1528.66704</v>
      </c>
      <c r="Z62" s="57">
        <f>IF(Z$3=2010,O62*(1+VLOOKUP(Z$3,'Returns &amp; Bonus'!$A$5:$B$15,2,0)),(O62+Y62)*(1+VLOOKUP(Z$3,'Returns &amp; Bonus'!$A$5:$B$15,2,0)))</f>
        <v>2287.8737551999998</v>
      </c>
      <c r="AA62" s="57">
        <f>IF(AA$3=2010,P62*(1+VLOOKUP(AA$3,'Returns &amp; Bonus'!$A$5:$B$15,2,0)),(P62+Z62)*(1+VLOOKUP(AA$3,'Returns &amp; Bonus'!$A$5:$B$15,2,0)))</f>
        <v>3090.0998682720001</v>
      </c>
      <c r="AB62" s="81">
        <f>IF(AB$3=2010,Q62*(1+VLOOKUP(AB$3,'Returns &amp; Bonus'!$A$5:$B$15,2,0)),(Q62+AA62)*(1+VLOOKUP(AB$3,'Returns &amp; Bonus'!$A$5:$B$15,2,0)))</f>
        <v>3514.37787090656</v>
      </c>
      <c r="AC62" s="85"/>
      <c r="AD62" s="58">
        <f t="shared" si="15"/>
        <v>0</v>
      </c>
      <c r="AE62" s="58">
        <f t="shared" si="16"/>
        <v>0</v>
      </c>
      <c r="AF62" s="58">
        <f t="shared" si="9"/>
        <v>3514.37787090656</v>
      </c>
      <c r="AG62" s="58">
        <f t="shared" si="10"/>
        <v>0</v>
      </c>
      <c r="AH62" s="55">
        <f>IF(VLOOKUP(A62,'Data &amp; Formulae'!$A$11:$F$91,6,0)="Y",BonusFundProp*AF62*VLOOKUP(YEAR(B62),'Returns &amp; Bonus'!$G$4:$I$15,3,0),0)</f>
        <v>0</v>
      </c>
      <c r="AI62" s="55">
        <f>IF(VLOOKUP(A62,'Data &amp; Formulae'!$A$11:$F$91,6,0)="Y",ClaimFundProp*AF62+AH62,0)</f>
        <v>0</v>
      </c>
      <c r="AJ62" s="55">
        <f t="shared" si="17"/>
        <v>0</v>
      </c>
      <c r="AK62" s="55">
        <f t="shared" si="11"/>
        <v>0</v>
      </c>
      <c r="AL62" s="60"/>
      <c r="AM62" s="71">
        <f t="shared" si="18"/>
        <v>0</v>
      </c>
      <c r="AN62" s="55">
        <f t="shared" si="12"/>
        <v>0</v>
      </c>
      <c r="AO62" s="60"/>
      <c r="AP62" s="71">
        <f>IF(VLOOKUP(A62,'Data &amp; Formulae'!$A$11:$F$91,6,0)="Y",Scen2Bonus*AF62,0)</f>
        <v>0</v>
      </c>
      <c r="AQ62" s="55">
        <f>IF(VLOOKUP(A62,'Data &amp; Formulae'!$A$11:$F$91,6,0)="Y",ClaimFundProp*AF62+AP62,0)</f>
        <v>0</v>
      </c>
      <c r="AR62" s="55">
        <f t="shared" si="19"/>
        <v>0</v>
      </c>
      <c r="AS62" s="55">
        <f t="shared" si="13"/>
        <v>0</v>
      </c>
      <c r="AT62" s="60"/>
      <c r="AU62" s="71">
        <f>IF(VLOOKUP(A62,'Data &amp; Formulae'!$A$11:$F$91,6,0)="Y",SurrPay*AF62,0)</f>
        <v>0</v>
      </c>
      <c r="AV62" s="73"/>
      <c r="AX62" s="4" t="b">
        <f t="shared" si="20"/>
        <v>1</v>
      </c>
      <c r="AY62" s="89" t="e">
        <f>(S62/(R62+H62)-1)-VLOOKUP(AY$3,'Returns &amp; Bonus'!$A$5:$B$15,2,0)</f>
        <v>#DIV/0!</v>
      </c>
      <c r="AZ62" s="89" t="e">
        <f>(T62/(S62+I62)-1)-VLOOKUP(AZ$3,'Returns &amp; Bonus'!$A$5:$B$15,2,0)</f>
        <v>#DIV/0!</v>
      </c>
      <c r="BA62" s="89" t="e">
        <f>(U62/(T62+J62)-1)-VLOOKUP(BA$3,'Returns &amp; Bonus'!$A$5:$B$15,2,0)</f>
        <v>#DIV/0!</v>
      </c>
      <c r="BB62" s="89" t="e">
        <f>(V62/(U62+K62)-1)-VLOOKUP(BB$3,'Returns &amp; Bonus'!$A$5:$B$15,2,0)</f>
        <v>#DIV/0!</v>
      </c>
      <c r="BC62" s="89">
        <f>(W62/(V62+L62)-1)-VLOOKUP(BC$3,'Returns &amp; Bonus'!$A$5:$B$15,2,0)</f>
        <v>0</v>
      </c>
      <c r="BD62" s="89">
        <f>(X62/(W62+M62)-1)-VLOOKUP(BD$3,'Returns &amp; Bonus'!$A$5:$B$15,2,0)</f>
        <v>9.3675067702747583E-17</v>
      </c>
      <c r="BE62" s="89">
        <f>(Y62/(X62+N62)-1)-VLOOKUP(BE$3,'Returns &amp; Bonus'!$A$5:$B$15,2,0)</f>
        <v>-1.5265566588595902E-16</v>
      </c>
      <c r="BF62" s="89">
        <f>(Z62/(Y62+O62)-1)-VLOOKUP(BF$3,'Returns &amp; Bonus'!$A$5:$B$15,2,0)</f>
        <v>0</v>
      </c>
      <c r="BG62" s="89">
        <f>(AA62/(Z62+P62)-1)-VLOOKUP(BG$3,'Returns &amp; Bonus'!$A$5:$B$15,2,0)</f>
        <v>0</v>
      </c>
      <c r="BH62" s="89">
        <f>(AB62/(AA62+Q62)-1)-VLOOKUP(BH$3,'Returns &amp; Bonus'!$A$5:$B$15,2,0)</f>
        <v>0</v>
      </c>
    </row>
    <row r="63" spans="1:60" x14ac:dyDescent="0.25">
      <c r="A63" s="77">
        <f>'Amended Data'!A63</f>
        <v>60</v>
      </c>
      <c r="B63" s="75">
        <f>'Amended Data'!K63</f>
        <v>42005</v>
      </c>
      <c r="C63" s="55">
        <f>'Amended Data'!J63</f>
        <v>8999</v>
      </c>
      <c r="D63" s="56">
        <f>'Amended Data'!L63</f>
        <v>22</v>
      </c>
      <c r="E63" s="57">
        <f>'Amended Data'!M63</f>
        <v>4305.7524999999996</v>
      </c>
      <c r="F63" s="57" t="str">
        <f>'Data &amp; Formulae'!H71</f>
        <v>Y</v>
      </c>
      <c r="G63" s="57">
        <f t="shared" si="22"/>
        <v>0</v>
      </c>
      <c r="H63" s="57">
        <f t="shared" si="22"/>
        <v>0</v>
      </c>
      <c r="I63" s="57">
        <f t="shared" si="22"/>
        <v>0</v>
      </c>
      <c r="J63" s="57">
        <f t="shared" si="22"/>
        <v>0</v>
      </c>
      <c r="K63" s="57">
        <f t="shared" si="22"/>
        <v>0</v>
      </c>
      <c r="L63" s="57">
        <f t="shared" si="22"/>
        <v>8999</v>
      </c>
      <c r="M63" s="57">
        <f t="shared" si="22"/>
        <v>8999</v>
      </c>
      <c r="N63" s="57">
        <f t="shared" si="22"/>
        <v>8999</v>
      </c>
      <c r="O63" s="57">
        <f t="shared" si="22"/>
        <v>8999</v>
      </c>
      <c r="P63" s="57">
        <f t="shared" si="22"/>
        <v>8999</v>
      </c>
      <c r="Q63" s="57">
        <f t="shared" si="22"/>
        <v>8999</v>
      </c>
      <c r="R63" s="57">
        <f>IF(R$3=2010,G63*(1+VLOOKUP(R$3,'Returns &amp; Bonus'!$A$5:$B$15,2,0)),(G63+Q63)*(1+VLOOKUP(R$3,'Returns &amp; Bonus'!$A$5:$B$15,2,0)))</f>
        <v>0</v>
      </c>
      <c r="S63" s="57">
        <f>IF(S$3=2010,H63*(1+VLOOKUP(S$3,'Returns &amp; Bonus'!$A$5:$B$15,2,0)),(H63+R63)*(1+VLOOKUP(S$3,'Returns &amp; Bonus'!$A$5:$B$15,2,0)))</f>
        <v>0</v>
      </c>
      <c r="T63" s="57">
        <f>IF(T$3=2010,I63*(1+VLOOKUP(T$3,'Returns &amp; Bonus'!$A$5:$B$15,2,0)),(I63+S63)*(1+VLOOKUP(T$3,'Returns &amp; Bonus'!$A$5:$B$15,2,0)))</f>
        <v>0</v>
      </c>
      <c r="U63" s="57">
        <f>IF(U$3=2010,J63*(1+VLOOKUP(U$3,'Returns &amp; Bonus'!$A$5:$B$15,2,0)),(J63+T63)*(1+VLOOKUP(U$3,'Returns &amp; Bonus'!$A$5:$B$15,2,0)))</f>
        <v>0</v>
      </c>
      <c r="V63" s="57">
        <f>IF(V$3=2010,K63*(1+VLOOKUP(V$3,'Returns &amp; Bonus'!$A$5:$B$15,2,0)),(K63+U63)*(1+VLOOKUP(V$3,'Returns &amp; Bonus'!$A$5:$B$15,2,0)))</f>
        <v>0</v>
      </c>
      <c r="W63" s="57">
        <f>IF(W$3=2010,L63*(1+VLOOKUP(W$3,'Returns &amp; Bonus'!$A$5:$B$15,2,0)),(L63+V63)*(1+VLOOKUP(W$3,'Returns &amp; Bonus'!$A$5:$B$15,2,0)))</f>
        <v>11608.710000000001</v>
      </c>
      <c r="X63" s="57">
        <f>IF(X$3=2010,M63*(1+VLOOKUP(X$3,'Returns &amp; Bonus'!$A$5:$B$15,2,0)),(M63+W63)*(1+VLOOKUP(X$3,'Returns &amp; Bonus'!$A$5:$B$15,2,0)))</f>
        <v>20195.555799999998</v>
      </c>
      <c r="Y63" s="57">
        <f>IF(Y$3=2010,N63*(1+VLOOKUP(Y$3,'Returns &amp; Bonus'!$A$5:$B$15,2,0)),(N63+X63)*(1+VLOOKUP(Y$3,'Returns &amp; Bonus'!$A$5:$B$15,2,0)))</f>
        <v>27734.828009999997</v>
      </c>
      <c r="Z63" s="57">
        <f>IF(Z$3=2010,O63*(1+VLOOKUP(Z$3,'Returns &amp; Bonus'!$A$5:$B$15,2,0)),(O63+Y63)*(1+VLOOKUP(Z$3,'Returns &amp; Bonus'!$A$5:$B$15,2,0)))</f>
        <v>41509.225651299996</v>
      </c>
      <c r="AA63" s="57">
        <f>IF(AA$3=2010,P63*(1+VLOOKUP(AA$3,'Returns &amp; Bonus'!$A$5:$B$15,2,0)),(P63+Z63)*(1+VLOOKUP(AA$3,'Returns &amp; Bonus'!$A$5:$B$15,2,0)))</f>
        <v>56064.130472942998</v>
      </c>
      <c r="AB63" s="81">
        <f>IF(AB$3=2010,Q63*(1+VLOOKUP(AB$3,'Returns &amp; Bonus'!$A$5:$B$15,2,0)),(Q63+AA63)*(1+VLOOKUP(AB$3,'Returns &amp; Bonus'!$A$5:$B$15,2,0)))</f>
        <v>63761.867863484134</v>
      </c>
      <c r="AC63" s="85"/>
      <c r="AD63" s="58">
        <f t="shared" si="15"/>
        <v>59456.115363484132</v>
      </c>
      <c r="AE63" s="58">
        <f t="shared" si="16"/>
        <v>0</v>
      </c>
      <c r="AF63" s="58">
        <f t="shared" si="9"/>
        <v>4305.7524999999996</v>
      </c>
      <c r="AG63" s="58">
        <f t="shared" si="10"/>
        <v>59456.115363484132</v>
      </c>
      <c r="AH63" s="55">
        <f>IF(VLOOKUP(A63,'Data &amp; Formulae'!$A$11:$F$91,6,0)="Y",BonusFundProp*AF63*VLOOKUP(YEAR(B63),'Returns &amp; Bonus'!$G$4:$I$15,3,0),0)</f>
        <v>0</v>
      </c>
      <c r="AI63" s="55">
        <f>IF(VLOOKUP(A63,'Data &amp; Formulae'!$A$11:$F$91,6,0)="Y",ClaimFundProp*AF63+AH63,0)</f>
        <v>0</v>
      </c>
      <c r="AJ63" s="55">
        <f t="shared" si="17"/>
        <v>0</v>
      </c>
      <c r="AK63" s="55">
        <f t="shared" si="11"/>
        <v>0</v>
      </c>
      <c r="AL63" s="60"/>
      <c r="AM63" s="71">
        <f t="shared" si="18"/>
        <v>0</v>
      </c>
      <c r="AN63" s="55">
        <f t="shared" si="12"/>
        <v>0</v>
      </c>
      <c r="AO63" s="60"/>
      <c r="AP63" s="71">
        <f>IF(VLOOKUP(A63,'Data &amp; Formulae'!$A$11:$F$91,6,0)="Y",Scen2Bonus*AF63,0)</f>
        <v>0</v>
      </c>
      <c r="AQ63" s="55">
        <f>IF(VLOOKUP(A63,'Data &amp; Formulae'!$A$11:$F$91,6,0)="Y",ClaimFundProp*AF63+AP63,0)</f>
        <v>0</v>
      </c>
      <c r="AR63" s="55">
        <f t="shared" si="19"/>
        <v>0</v>
      </c>
      <c r="AS63" s="55">
        <f t="shared" si="13"/>
        <v>0</v>
      </c>
      <c r="AT63" s="60"/>
      <c r="AU63" s="71">
        <f>IF(VLOOKUP(A63,'Data &amp; Formulae'!$A$11:$F$91,6,0)="Y",SurrPay*AF63,0)</f>
        <v>0</v>
      </c>
      <c r="AV63" s="73"/>
      <c r="AX63" s="4" t="b">
        <f t="shared" si="20"/>
        <v>1</v>
      </c>
      <c r="AY63" s="89" t="e">
        <f>(S63/(R63+H63)-1)-VLOOKUP(AY$3,'Returns &amp; Bonus'!$A$5:$B$15,2,0)</f>
        <v>#DIV/0!</v>
      </c>
      <c r="AZ63" s="89" t="e">
        <f>(T63/(S63+I63)-1)-VLOOKUP(AZ$3,'Returns &amp; Bonus'!$A$5:$B$15,2,0)</f>
        <v>#DIV/0!</v>
      </c>
      <c r="BA63" s="89" t="e">
        <f>(U63/(T63+J63)-1)-VLOOKUP(BA$3,'Returns &amp; Bonus'!$A$5:$B$15,2,0)</f>
        <v>#DIV/0!</v>
      </c>
      <c r="BB63" s="89" t="e">
        <f>(V63/(U63+K63)-1)-VLOOKUP(BB$3,'Returns &amp; Bonus'!$A$5:$B$15,2,0)</f>
        <v>#DIV/0!</v>
      </c>
      <c r="BC63" s="89">
        <f>(W63/(V63+L63)-1)-VLOOKUP(BC$3,'Returns &amp; Bonus'!$A$5:$B$15,2,0)</f>
        <v>0</v>
      </c>
      <c r="BD63" s="89">
        <f>(X63/(W63+M63)-1)-VLOOKUP(BD$3,'Returns &amp; Bonus'!$A$5:$B$15,2,0)</f>
        <v>0</v>
      </c>
      <c r="BE63" s="89">
        <f>(Y63/(X63+N63)-1)-VLOOKUP(BE$3,'Returns &amp; Bonus'!$A$5:$B$15,2,0)</f>
        <v>0</v>
      </c>
      <c r="BF63" s="89">
        <f>(Z63/(Y63+O63)-1)-VLOOKUP(BF$3,'Returns &amp; Bonus'!$A$5:$B$15,2,0)</f>
        <v>0</v>
      </c>
      <c r="BG63" s="89">
        <f>(AA63/(Z63+P63)-1)-VLOOKUP(BG$3,'Returns &amp; Bonus'!$A$5:$B$15,2,0)</f>
        <v>0</v>
      </c>
      <c r="BH63" s="89">
        <f>(AB63/(AA63+Q63)-1)-VLOOKUP(BH$3,'Returns &amp; Bonus'!$A$5:$B$15,2,0)</f>
        <v>0</v>
      </c>
    </row>
    <row r="64" spans="1:60" x14ac:dyDescent="0.25">
      <c r="A64" s="77">
        <f>'Amended Data'!A64</f>
        <v>61</v>
      </c>
      <c r="B64" s="75">
        <f>'Amended Data'!K64</f>
        <v>42005</v>
      </c>
      <c r="C64" s="55">
        <f>'Amended Data'!J64</f>
        <v>900</v>
      </c>
      <c r="D64" s="56">
        <f>'Amended Data'!L64</f>
        <v>28</v>
      </c>
      <c r="E64" s="57">
        <f>'Amended Data'!M64</f>
        <v>313.35499999999996</v>
      </c>
      <c r="F64" s="57" t="str">
        <f>'Data &amp; Formulae'!H72</f>
        <v>Y</v>
      </c>
      <c r="G64" s="57">
        <f t="shared" si="22"/>
        <v>0</v>
      </c>
      <c r="H64" s="57">
        <f t="shared" si="22"/>
        <v>0</v>
      </c>
      <c r="I64" s="57">
        <f t="shared" si="22"/>
        <v>0</v>
      </c>
      <c r="J64" s="57">
        <f t="shared" si="22"/>
        <v>0</v>
      </c>
      <c r="K64" s="57">
        <f t="shared" si="22"/>
        <v>0</v>
      </c>
      <c r="L64" s="57">
        <f t="shared" si="22"/>
        <v>900</v>
      </c>
      <c r="M64" s="57">
        <f t="shared" si="22"/>
        <v>900</v>
      </c>
      <c r="N64" s="57">
        <f t="shared" si="22"/>
        <v>900</v>
      </c>
      <c r="O64" s="57">
        <f t="shared" si="22"/>
        <v>900</v>
      </c>
      <c r="P64" s="57">
        <f t="shared" si="22"/>
        <v>900</v>
      </c>
      <c r="Q64" s="57">
        <f t="shared" si="22"/>
        <v>900</v>
      </c>
      <c r="R64" s="57">
        <f>IF(R$3=2010,G64*(1+VLOOKUP(R$3,'Returns &amp; Bonus'!$A$5:$B$15,2,0)),(G64+Q64)*(1+VLOOKUP(R$3,'Returns &amp; Bonus'!$A$5:$B$15,2,0)))</f>
        <v>0</v>
      </c>
      <c r="S64" s="57">
        <f>IF(S$3=2010,H64*(1+VLOOKUP(S$3,'Returns &amp; Bonus'!$A$5:$B$15,2,0)),(H64+R64)*(1+VLOOKUP(S$3,'Returns &amp; Bonus'!$A$5:$B$15,2,0)))</f>
        <v>0</v>
      </c>
      <c r="T64" s="57">
        <f>IF(T$3=2010,I64*(1+VLOOKUP(T$3,'Returns &amp; Bonus'!$A$5:$B$15,2,0)),(I64+S64)*(1+VLOOKUP(T$3,'Returns &amp; Bonus'!$A$5:$B$15,2,0)))</f>
        <v>0</v>
      </c>
      <c r="U64" s="57">
        <f>IF(U$3=2010,J64*(1+VLOOKUP(U$3,'Returns &amp; Bonus'!$A$5:$B$15,2,0)),(J64+T64)*(1+VLOOKUP(U$3,'Returns &amp; Bonus'!$A$5:$B$15,2,0)))</f>
        <v>0</v>
      </c>
      <c r="V64" s="57">
        <f>IF(V$3=2010,K64*(1+VLOOKUP(V$3,'Returns &amp; Bonus'!$A$5:$B$15,2,0)),(K64+U64)*(1+VLOOKUP(V$3,'Returns &amp; Bonus'!$A$5:$B$15,2,0)))</f>
        <v>0</v>
      </c>
      <c r="W64" s="57">
        <f>IF(W$3=2010,L64*(1+VLOOKUP(W$3,'Returns &amp; Bonus'!$A$5:$B$15,2,0)),(L64+V64)*(1+VLOOKUP(W$3,'Returns &amp; Bonus'!$A$5:$B$15,2,0)))</f>
        <v>1161</v>
      </c>
      <c r="X64" s="57">
        <f>IF(X$3=2010,M64*(1+VLOOKUP(X$3,'Returns &amp; Bonus'!$A$5:$B$15,2,0)),(M64+W64)*(1+VLOOKUP(X$3,'Returns &amp; Bonus'!$A$5:$B$15,2,0)))</f>
        <v>2019.78</v>
      </c>
      <c r="Y64" s="57">
        <f>IF(Y$3=2010,N64*(1+VLOOKUP(Y$3,'Returns &amp; Bonus'!$A$5:$B$15,2,0)),(N64+X64)*(1+VLOOKUP(Y$3,'Returns &amp; Bonus'!$A$5:$B$15,2,0)))</f>
        <v>2773.7909999999997</v>
      </c>
      <c r="Z64" s="57">
        <f>IF(Z$3=2010,O64*(1+VLOOKUP(Z$3,'Returns &amp; Bonus'!$A$5:$B$15,2,0)),(O64+Y64)*(1+VLOOKUP(Z$3,'Returns &amp; Bonus'!$A$5:$B$15,2,0)))</f>
        <v>4151.3838299999989</v>
      </c>
      <c r="AA64" s="57">
        <f>IF(AA$3=2010,P64*(1+VLOOKUP(AA$3,'Returns &amp; Bonus'!$A$5:$B$15,2,0)),(P64+Z64)*(1+VLOOKUP(AA$3,'Returns &amp; Bonus'!$A$5:$B$15,2,0)))</f>
        <v>5607.0360512999996</v>
      </c>
      <c r="AB64" s="81">
        <f>IF(AB$3=2010,Q64*(1+VLOOKUP(AB$3,'Returns &amp; Bonus'!$A$5:$B$15,2,0)),(Q64+AA64)*(1+VLOOKUP(AB$3,'Returns &amp; Bonus'!$A$5:$B$15,2,0)))</f>
        <v>6376.8953302739992</v>
      </c>
      <c r="AC64" s="85"/>
      <c r="AD64" s="58">
        <f t="shared" si="15"/>
        <v>6063.5403302739996</v>
      </c>
      <c r="AE64" s="58">
        <f t="shared" si="16"/>
        <v>0</v>
      </c>
      <c r="AF64" s="58">
        <f t="shared" si="9"/>
        <v>313.35499999999996</v>
      </c>
      <c r="AG64" s="58">
        <f t="shared" si="10"/>
        <v>6063.5403302739996</v>
      </c>
      <c r="AH64" s="55">
        <f>IF(VLOOKUP(A64,'Data &amp; Formulae'!$A$11:$F$91,6,0)="Y",BonusFundProp*AF64*VLOOKUP(YEAR(B64),'Returns &amp; Bonus'!$G$4:$I$15,3,0),0)</f>
        <v>68.938099999999991</v>
      </c>
      <c r="AI64" s="55">
        <f>IF(VLOOKUP(A64,'Data &amp; Formulae'!$A$11:$F$91,6,0)="Y",ClaimFundProp*AF64+AH64,0)</f>
        <v>319.62209999999993</v>
      </c>
      <c r="AJ64" s="55">
        <f t="shared" si="17"/>
        <v>319.62209999999993</v>
      </c>
      <c r="AK64" s="55">
        <f t="shared" si="11"/>
        <v>-6.2670999999999708</v>
      </c>
      <c r="AL64" s="60"/>
      <c r="AM64" s="71">
        <f t="shared" si="18"/>
        <v>319.62209999999993</v>
      </c>
      <c r="AN64" s="55">
        <f t="shared" si="12"/>
        <v>-6.2670999999999708</v>
      </c>
      <c r="AO64" s="60"/>
      <c r="AP64" s="71">
        <f>IF(VLOOKUP(A64,'Data &amp; Formulae'!$A$11:$F$91,6,0)="Y",Scen2Bonus*AF64,0)</f>
        <v>65.804549999999992</v>
      </c>
      <c r="AQ64" s="55">
        <f>IF(VLOOKUP(A64,'Data &amp; Formulae'!$A$11:$F$91,6,0)="Y",ClaimFundProp*AF64+AP64,0)</f>
        <v>316.48854999999998</v>
      </c>
      <c r="AR64" s="55">
        <f t="shared" si="19"/>
        <v>316.48854999999998</v>
      </c>
      <c r="AS64" s="55">
        <f t="shared" si="13"/>
        <v>-3.1335500000000138</v>
      </c>
      <c r="AT64" s="60"/>
      <c r="AU64" s="71">
        <f>IF(VLOOKUP(A64,'Data &amp; Formulae'!$A$11:$F$91,6,0)="Y",SurrPay*AF64,0)</f>
        <v>7.833874999999999</v>
      </c>
      <c r="AV64" s="73"/>
      <c r="AX64" s="4" t="b">
        <f t="shared" si="20"/>
        <v>1</v>
      </c>
      <c r="AY64" s="89" t="e">
        <f>(S64/(R64+H64)-1)-VLOOKUP(AY$3,'Returns &amp; Bonus'!$A$5:$B$15,2,0)</f>
        <v>#DIV/0!</v>
      </c>
      <c r="AZ64" s="89" t="e">
        <f>(T64/(S64+I64)-1)-VLOOKUP(AZ$3,'Returns &amp; Bonus'!$A$5:$B$15,2,0)</f>
        <v>#DIV/0!</v>
      </c>
      <c r="BA64" s="89" t="e">
        <f>(U64/(T64+J64)-1)-VLOOKUP(BA$3,'Returns &amp; Bonus'!$A$5:$B$15,2,0)</f>
        <v>#DIV/0!</v>
      </c>
      <c r="BB64" s="89" t="e">
        <f>(V64/(U64+K64)-1)-VLOOKUP(BB$3,'Returns &amp; Bonus'!$A$5:$B$15,2,0)</f>
        <v>#DIV/0!</v>
      </c>
      <c r="BC64" s="89">
        <f>(W64/(V64+L64)-1)-VLOOKUP(BC$3,'Returns &amp; Bonus'!$A$5:$B$15,2,0)</f>
        <v>0</v>
      </c>
      <c r="BD64" s="89">
        <f>(X64/(W64+M64)-1)-VLOOKUP(BD$3,'Returns &amp; Bonus'!$A$5:$B$15,2,0)</f>
        <v>0</v>
      </c>
      <c r="BE64" s="89">
        <f>(Y64/(X64+N64)-1)-VLOOKUP(BE$3,'Returns &amp; Bonus'!$A$5:$B$15,2,0)</f>
        <v>0</v>
      </c>
      <c r="BF64" s="89">
        <f>(Z64/(Y64+O64)-1)-VLOOKUP(BF$3,'Returns &amp; Bonus'!$A$5:$B$15,2,0)</f>
        <v>-3.3306690738754696E-16</v>
      </c>
      <c r="BG64" s="89">
        <f>(AA64/(Z64+P64)-1)-VLOOKUP(BG$3,'Returns &amp; Bonus'!$A$5:$B$15,2,0)</f>
        <v>0</v>
      </c>
      <c r="BH64" s="89">
        <f>(AB64/(AA64+Q64)-1)-VLOOKUP(BH$3,'Returns &amp; Bonus'!$A$5:$B$15,2,0)</f>
        <v>0</v>
      </c>
    </row>
    <row r="65" spans="1:60" x14ac:dyDescent="0.25">
      <c r="A65" s="77">
        <f>'Amended Data'!A65</f>
        <v>62</v>
      </c>
      <c r="B65" s="75">
        <f>'Amended Data'!K65</f>
        <v>42005</v>
      </c>
      <c r="C65" s="55">
        <f>'Amended Data'!J65</f>
        <v>4188</v>
      </c>
      <c r="D65" s="56">
        <f>'Amended Data'!L65</f>
        <v>8</v>
      </c>
      <c r="E65" s="57">
        <f>'Amended Data'!M65</f>
        <v>3562.6674999999996</v>
      </c>
      <c r="F65" s="57" t="str">
        <f>'Data &amp; Formulae'!H73</f>
        <v>Y</v>
      </c>
      <c r="G65" s="57">
        <f t="shared" si="22"/>
        <v>0</v>
      </c>
      <c r="H65" s="57">
        <f t="shared" si="22"/>
        <v>0</v>
      </c>
      <c r="I65" s="57">
        <f t="shared" si="22"/>
        <v>0</v>
      </c>
      <c r="J65" s="57">
        <f t="shared" si="22"/>
        <v>0</v>
      </c>
      <c r="K65" s="57">
        <f t="shared" si="22"/>
        <v>0</v>
      </c>
      <c r="L65" s="57">
        <f t="shared" si="22"/>
        <v>4188</v>
      </c>
      <c r="M65" s="57">
        <f t="shared" si="22"/>
        <v>4188</v>
      </c>
      <c r="N65" s="57">
        <f t="shared" si="22"/>
        <v>4188</v>
      </c>
      <c r="O65" s="57">
        <f t="shared" si="22"/>
        <v>4188</v>
      </c>
      <c r="P65" s="57">
        <f t="shared" si="22"/>
        <v>4188</v>
      </c>
      <c r="Q65" s="57">
        <f t="shared" si="22"/>
        <v>4188</v>
      </c>
      <c r="R65" s="57">
        <f>IF(R$3=2010,G65*(1+VLOOKUP(R$3,'Returns &amp; Bonus'!$A$5:$B$15,2,0)),(G65+Q65)*(1+VLOOKUP(R$3,'Returns &amp; Bonus'!$A$5:$B$15,2,0)))</f>
        <v>0</v>
      </c>
      <c r="S65" s="57">
        <f>IF(S$3=2010,H65*(1+VLOOKUP(S$3,'Returns &amp; Bonus'!$A$5:$B$15,2,0)),(H65+R65)*(1+VLOOKUP(S$3,'Returns &amp; Bonus'!$A$5:$B$15,2,0)))</f>
        <v>0</v>
      </c>
      <c r="T65" s="57">
        <f>IF(T$3=2010,I65*(1+VLOOKUP(T$3,'Returns &amp; Bonus'!$A$5:$B$15,2,0)),(I65+S65)*(1+VLOOKUP(T$3,'Returns &amp; Bonus'!$A$5:$B$15,2,0)))</f>
        <v>0</v>
      </c>
      <c r="U65" s="57">
        <f>IF(U$3=2010,J65*(1+VLOOKUP(U$3,'Returns &amp; Bonus'!$A$5:$B$15,2,0)),(J65+T65)*(1+VLOOKUP(U$3,'Returns &amp; Bonus'!$A$5:$B$15,2,0)))</f>
        <v>0</v>
      </c>
      <c r="V65" s="57">
        <f>IF(V$3=2010,K65*(1+VLOOKUP(V$3,'Returns &amp; Bonus'!$A$5:$B$15,2,0)),(K65+U65)*(1+VLOOKUP(V$3,'Returns &amp; Bonus'!$A$5:$B$15,2,0)))</f>
        <v>0</v>
      </c>
      <c r="W65" s="57">
        <f>IF(W$3=2010,L65*(1+VLOOKUP(W$3,'Returns &amp; Bonus'!$A$5:$B$15,2,0)),(L65+V65)*(1+VLOOKUP(W$3,'Returns &amp; Bonus'!$A$5:$B$15,2,0)))</f>
        <v>5402.52</v>
      </c>
      <c r="X65" s="57">
        <f>IF(X$3=2010,M65*(1+VLOOKUP(X$3,'Returns &amp; Bonus'!$A$5:$B$15,2,0)),(M65+W65)*(1+VLOOKUP(X$3,'Returns &amp; Bonus'!$A$5:$B$15,2,0)))</f>
        <v>9398.7096000000001</v>
      </c>
      <c r="Y65" s="57">
        <f>IF(Y$3=2010,N65*(1+VLOOKUP(Y$3,'Returns &amp; Bonus'!$A$5:$B$15,2,0)),(N65+X65)*(1+VLOOKUP(Y$3,'Returns &amp; Bonus'!$A$5:$B$15,2,0)))</f>
        <v>12907.37412</v>
      </c>
      <c r="Z65" s="57">
        <f>IF(Z$3=2010,O65*(1+VLOOKUP(Z$3,'Returns &amp; Bonus'!$A$5:$B$15,2,0)),(O65+Y65)*(1+VLOOKUP(Z$3,'Returns &amp; Bonus'!$A$5:$B$15,2,0)))</f>
        <v>19317.772755599999</v>
      </c>
      <c r="AA65" s="57">
        <f>IF(AA$3=2010,P65*(1+VLOOKUP(AA$3,'Returns &amp; Bonus'!$A$5:$B$15,2,0)),(P65+Z65)*(1+VLOOKUP(AA$3,'Returns &amp; Bonus'!$A$5:$B$15,2,0)))</f>
        <v>26091.407758716003</v>
      </c>
      <c r="AB65" s="81">
        <f>IF(AB$3=2010,Q65*(1+VLOOKUP(AB$3,'Returns &amp; Bonus'!$A$5:$B$15,2,0)),(Q65+AA65)*(1+VLOOKUP(AB$3,'Returns &amp; Bonus'!$A$5:$B$15,2,0)))</f>
        <v>29673.81960354168</v>
      </c>
      <c r="AC65" s="85"/>
      <c r="AD65" s="58">
        <f t="shared" si="15"/>
        <v>26111.152103541681</v>
      </c>
      <c r="AE65" s="58">
        <f t="shared" si="16"/>
        <v>0</v>
      </c>
      <c r="AF65" s="58">
        <f t="shared" si="9"/>
        <v>3562.6674999999996</v>
      </c>
      <c r="AG65" s="58">
        <f t="shared" si="10"/>
        <v>26111.152103541681</v>
      </c>
      <c r="AH65" s="55">
        <f>IF(VLOOKUP(A65,'Data &amp; Formulae'!$A$11:$F$91,6,0)="Y",BonusFundProp*AF65*VLOOKUP(YEAR(B65),'Returns &amp; Bonus'!$G$4:$I$15,3,0),0)</f>
        <v>783.78685000000007</v>
      </c>
      <c r="AI65" s="55">
        <f>IF(VLOOKUP(A65,'Data &amp; Formulae'!$A$11:$F$91,6,0)="Y",ClaimFundProp*AF65+AH65,0)</f>
        <v>3633.92085</v>
      </c>
      <c r="AJ65" s="55">
        <f t="shared" si="17"/>
        <v>3633.92085</v>
      </c>
      <c r="AK65" s="55">
        <f t="shared" si="11"/>
        <v>-71.25335000000041</v>
      </c>
      <c r="AL65" s="60"/>
      <c r="AM65" s="71">
        <f t="shared" si="18"/>
        <v>3633.92085</v>
      </c>
      <c r="AN65" s="55">
        <f t="shared" si="12"/>
        <v>-71.25335000000041</v>
      </c>
      <c r="AO65" s="60"/>
      <c r="AP65" s="71">
        <f>IF(VLOOKUP(A65,'Data &amp; Formulae'!$A$11:$F$91,6,0)="Y",Scen2Bonus*AF65,0)</f>
        <v>748.16017499999987</v>
      </c>
      <c r="AQ65" s="55">
        <f>IF(VLOOKUP(A65,'Data &amp; Formulae'!$A$11:$F$91,6,0)="Y",ClaimFundProp*AF65+AP65,0)</f>
        <v>3598.294175</v>
      </c>
      <c r="AR65" s="55">
        <f t="shared" si="19"/>
        <v>3598.294175</v>
      </c>
      <c r="AS65" s="55">
        <f t="shared" si="13"/>
        <v>-35.626675000000432</v>
      </c>
      <c r="AT65" s="60"/>
      <c r="AU65" s="71">
        <f>IF(VLOOKUP(A65,'Data &amp; Formulae'!$A$11:$F$91,6,0)="Y",SurrPay*AF65,0)</f>
        <v>89.0666875</v>
      </c>
      <c r="AV65" s="73"/>
      <c r="AX65" s="4" t="b">
        <f t="shared" si="20"/>
        <v>1</v>
      </c>
      <c r="AY65" s="89" t="e">
        <f>(S65/(R65+H65)-1)-VLOOKUP(AY$3,'Returns &amp; Bonus'!$A$5:$B$15,2,0)</f>
        <v>#DIV/0!</v>
      </c>
      <c r="AZ65" s="89" t="e">
        <f>(T65/(S65+I65)-1)-VLOOKUP(AZ$3,'Returns &amp; Bonus'!$A$5:$B$15,2,0)</f>
        <v>#DIV/0!</v>
      </c>
      <c r="BA65" s="89" t="e">
        <f>(U65/(T65+J65)-1)-VLOOKUP(BA$3,'Returns &amp; Bonus'!$A$5:$B$15,2,0)</f>
        <v>#DIV/0!</v>
      </c>
      <c r="BB65" s="89" t="e">
        <f>(V65/(U65+K65)-1)-VLOOKUP(BB$3,'Returns &amp; Bonus'!$A$5:$B$15,2,0)</f>
        <v>#DIV/0!</v>
      </c>
      <c r="BC65" s="89">
        <f>(W65/(V65+L65)-1)-VLOOKUP(BC$3,'Returns &amp; Bonus'!$A$5:$B$15,2,0)</f>
        <v>0</v>
      </c>
      <c r="BD65" s="89">
        <f>(X65/(W65+M65)-1)-VLOOKUP(BD$3,'Returns &amp; Bonus'!$A$5:$B$15,2,0)</f>
        <v>0</v>
      </c>
      <c r="BE65" s="89">
        <f>(Y65/(X65+N65)-1)-VLOOKUP(BE$3,'Returns &amp; Bonus'!$A$5:$B$15,2,0)</f>
        <v>6.9388939039072284E-17</v>
      </c>
      <c r="BF65" s="89">
        <f>(Z65/(Y65+O65)-1)-VLOOKUP(BF$3,'Returns &amp; Bonus'!$A$5:$B$15,2,0)</f>
        <v>0</v>
      </c>
      <c r="BG65" s="89">
        <f>(AA65/(Z65+P65)-1)-VLOOKUP(BG$3,'Returns &amp; Bonus'!$A$5:$B$15,2,0)</f>
        <v>0</v>
      </c>
      <c r="BH65" s="89">
        <f>(AB65/(AA65+Q65)-1)-VLOOKUP(BH$3,'Returns &amp; Bonus'!$A$5:$B$15,2,0)</f>
        <v>-1.2836953722228372E-16</v>
      </c>
    </row>
    <row r="66" spans="1:60" x14ac:dyDescent="0.25">
      <c r="A66" s="77">
        <f>'Amended Data'!A66</f>
        <v>63</v>
      </c>
      <c r="B66" s="75">
        <f>'Amended Data'!K66</f>
        <v>42005</v>
      </c>
      <c r="C66" s="55">
        <f>'Amended Data'!J66</f>
        <v>3867</v>
      </c>
      <c r="D66" s="56">
        <f>'Amended Data'!L66</f>
        <v>12</v>
      </c>
      <c r="E66" s="57">
        <f>'Amended Data'!M66</f>
        <v>5320.4199999999992</v>
      </c>
      <c r="F66" s="57" t="str">
        <f>'Data &amp; Formulae'!H74</f>
        <v>Y</v>
      </c>
      <c r="G66" s="57">
        <f t="shared" si="22"/>
        <v>0</v>
      </c>
      <c r="H66" s="57">
        <f t="shared" si="22"/>
        <v>0</v>
      </c>
      <c r="I66" s="57">
        <f t="shared" si="22"/>
        <v>0</v>
      </c>
      <c r="J66" s="57">
        <f t="shared" si="22"/>
        <v>0</v>
      </c>
      <c r="K66" s="57">
        <f t="shared" si="22"/>
        <v>0</v>
      </c>
      <c r="L66" s="57">
        <f t="shared" si="22"/>
        <v>3867</v>
      </c>
      <c r="M66" s="57">
        <f t="shared" si="22"/>
        <v>3867</v>
      </c>
      <c r="N66" s="57">
        <f t="shared" si="22"/>
        <v>3867</v>
      </c>
      <c r="O66" s="57">
        <f t="shared" si="22"/>
        <v>3867</v>
      </c>
      <c r="P66" s="57">
        <f t="shared" si="22"/>
        <v>3867</v>
      </c>
      <c r="Q66" s="57">
        <f t="shared" si="22"/>
        <v>3867</v>
      </c>
      <c r="R66" s="57">
        <f>IF(R$3=2010,G66*(1+VLOOKUP(R$3,'Returns &amp; Bonus'!$A$5:$B$15,2,0)),(G66+Q66)*(1+VLOOKUP(R$3,'Returns &amp; Bonus'!$A$5:$B$15,2,0)))</f>
        <v>0</v>
      </c>
      <c r="S66" s="57">
        <f>IF(S$3=2010,H66*(1+VLOOKUP(S$3,'Returns &amp; Bonus'!$A$5:$B$15,2,0)),(H66+R66)*(1+VLOOKUP(S$3,'Returns &amp; Bonus'!$A$5:$B$15,2,0)))</f>
        <v>0</v>
      </c>
      <c r="T66" s="57">
        <f>IF(T$3=2010,I66*(1+VLOOKUP(T$3,'Returns &amp; Bonus'!$A$5:$B$15,2,0)),(I66+S66)*(1+VLOOKUP(T$3,'Returns &amp; Bonus'!$A$5:$B$15,2,0)))</f>
        <v>0</v>
      </c>
      <c r="U66" s="57">
        <f>IF(U$3=2010,J66*(1+VLOOKUP(U$3,'Returns &amp; Bonus'!$A$5:$B$15,2,0)),(J66+T66)*(1+VLOOKUP(U$3,'Returns &amp; Bonus'!$A$5:$B$15,2,0)))</f>
        <v>0</v>
      </c>
      <c r="V66" s="57">
        <f>IF(V$3=2010,K66*(1+VLOOKUP(V$3,'Returns &amp; Bonus'!$A$5:$B$15,2,0)),(K66+U66)*(1+VLOOKUP(V$3,'Returns &amp; Bonus'!$A$5:$B$15,2,0)))</f>
        <v>0</v>
      </c>
      <c r="W66" s="57">
        <f>IF(W$3=2010,L66*(1+VLOOKUP(W$3,'Returns &amp; Bonus'!$A$5:$B$15,2,0)),(L66+V66)*(1+VLOOKUP(W$3,'Returns &amp; Bonus'!$A$5:$B$15,2,0)))</f>
        <v>4988.43</v>
      </c>
      <c r="X66" s="57">
        <f>IF(X$3=2010,M66*(1+VLOOKUP(X$3,'Returns &amp; Bonus'!$A$5:$B$15,2,0)),(M66+W66)*(1+VLOOKUP(X$3,'Returns &amp; Bonus'!$A$5:$B$15,2,0)))</f>
        <v>8678.3214000000007</v>
      </c>
      <c r="Y66" s="57">
        <f>IF(Y$3=2010,N66*(1+VLOOKUP(Y$3,'Returns &amp; Bonus'!$A$5:$B$15,2,0)),(N66+X66)*(1+VLOOKUP(Y$3,'Returns &amp; Bonus'!$A$5:$B$15,2,0)))</f>
        <v>11918.055329999999</v>
      </c>
      <c r="Z66" s="57">
        <f>IF(Z$3=2010,O66*(1+VLOOKUP(Z$3,'Returns &amp; Bonus'!$A$5:$B$15,2,0)),(O66+Y66)*(1+VLOOKUP(Z$3,'Returns &amp; Bonus'!$A$5:$B$15,2,0)))</f>
        <v>17837.112522899999</v>
      </c>
      <c r="AA66" s="57">
        <f>IF(AA$3=2010,P66*(1+VLOOKUP(AA$3,'Returns &amp; Bonus'!$A$5:$B$15,2,0)),(P66+Z66)*(1+VLOOKUP(AA$3,'Returns &amp; Bonus'!$A$5:$B$15,2,0)))</f>
        <v>24091.564900419002</v>
      </c>
      <c r="AB66" s="81">
        <f>IF(AB$3=2010,Q66*(1+VLOOKUP(AB$3,'Returns &amp; Bonus'!$A$5:$B$15,2,0)),(Q66+AA66)*(1+VLOOKUP(AB$3,'Returns &amp; Bonus'!$A$5:$B$15,2,0)))</f>
        <v>27399.393602410622</v>
      </c>
      <c r="AC66" s="85"/>
      <c r="AD66" s="58">
        <f t="shared" si="15"/>
        <v>22078.973602410624</v>
      </c>
      <c r="AE66" s="58">
        <f t="shared" si="16"/>
        <v>0</v>
      </c>
      <c r="AF66" s="58">
        <f t="shared" si="9"/>
        <v>5320.4199999999992</v>
      </c>
      <c r="AG66" s="58">
        <f t="shared" si="10"/>
        <v>22078.973602410624</v>
      </c>
      <c r="AH66" s="55">
        <f>IF(VLOOKUP(A66,'Data &amp; Formulae'!$A$11:$F$91,6,0)="Y",BonusFundProp*AF66*VLOOKUP(YEAR(B66),'Returns &amp; Bonus'!$G$4:$I$15,3,0),0)</f>
        <v>1170.4923999999999</v>
      </c>
      <c r="AI66" s="55">
        <f>IF(VLOOKUP(A66,'Data &amp; Formulae'!$A$11:$F$91,6,0)="Y",ClaimFundProp*AF66+AH66,0)</f>
        <v>5426.8283999999994</v>
      </c>
      <c r="AJ66" s="55">
        <f t="shared" si="17"/>
        <v>5426.8283999999994</v>
      </c>
      <c r="AK66" s="55">
        <f t="shared" si="11"/>
        <v>-106.40840000000026</v>
      </c>
      <c r="AL66" s="60"/>
      <c r="AM66" s="71">
        <f t="shared" si="18"/>
        <v>5426.8283999999994</v>
      </c>
      <c r="AN66" s="55">
        <f t="shared" si="12"/>
        <v>-106.40840000000026</v>
      </c>
      <c r="AO66" s="60"/>
      <c r="AP66" s="71">
        <f>IF(VLOOKUP(A66,'Data &amp; Formulae'!$A$11:$F$91,6,0)="Y",Scen2Bonus*AF66,0)</f>
        <v>1117.2881999999997</v>
      </c>
      <c r="AQ66" s="55">
        <f>IF(VLOOKUP(A66,'Data &amp; Formulae'!$A$11:$F$91,6,0)="Y",ClaimFundProp*AF66+AP66,0)</f>
        <v>5373.6241999999993</v>
      </c>
      <c r="AR66" s="55">
        <f t="shared" si="19"/>
        <v>5373.6241999999993</v>
      </c>
      <c r="AS66" s="55">
        <f t="shared" si="13"/>
        <v>-53.204200000000128</v>
      </c>
      <c r="AT66" s="60"/>
      <c r="AU66" s="71">
        <f>IF(VLOOKUP(A66,'Data &amp; Formulae'!$A$11:$F$91,6,0)="Y",SurrPay*AF66,0)</f>
        <v>133.01049999999998</v>
      </c>
      <c r="AV66" s="73"/>
      <c r="AX66" s="4" t="b">
        <f t="shared" si="20"/>
        <v>1</v>
      </c>
      <c r="AY66" s="89" t="e">
        <f>(S66/(R66+H66)-1)-VLOOKUP(AY$3,'Returns &amp; Bonus'!$A$5:$B$15,2,0)</f>
        <v>#DIV/0!</v>
      </c>
      <c r="AZ66" s="89" t="e">
        <f>(T66/(S66+I66)-1)-VLOOKUP(AZ$3,'Returns &amp; Bonus'!$A$5:$B$15,2,0)</f>
        <v>#DIV/0!</v>
      </c>
      <c r="BA66" s="89" t="e">
        <f>(U66/(T66+J66)-1)-VLOOKUP(BA$3,'Returns &amp; Bonus'!$A$5:$B$15,2,0)</f>
        <v>#DIV/0!</v>
      </c>
      <c r="BB66" s="89" t="e">
        <f>(V66/(U66+K66)-1)-VLOOKUP(BB$3,'Returns &amp; Bonus'!$A$5:$B$15,2,0)</f>
        <v>#DIV/0!</v>
      </c>
      <c r="BC66" s="89">
        <f>(W66/(V66+L66)-1)-VLOOKUP(BC$3,'Returns &amp; Bonus'!$A$5:$B$15,2,0)</f>
        <v>0</v>
      </c>
      <c r="BD66" s="89">
        <f>(X66/(W66+M66)-1)-VLOOKUP(BD$3,'Returns &amp; Bonus'!$A$5:$B$15,2,0)</f>
        <v>9.3675067702747583E-17</v>
      </c>
      <c r="BE66" s="89">
        <f>(Y66/(X66+N66)-1)-VLOOKUP(BE$3,'Returns &amp; Bonus'!$A$5:$B$15,2,0)</f>
        <v>-1.5265566588595902E-16</v>
      </c>
      <c r="BF66" s="89">
        <f>(Z66/(Y66+O66)-1)-VLOOKUP(BF$3,'Returns &amp; Bonus'!$A$5:$B$15,2,0)</f>
        <v>0</v>
      </c>
      <c r="BG66" s="89">
        <f>(AA66/(Z66+P66)-1)-VLOOKUP(BG$3,'Returns &amp; Bonus'!$A$5:$B$15,2,0)</f>
        <v>0</v>
      </c>
      <c r="BH66" s="89">
        <f>(AB66/(AA66+Q66)-1)-VLOOKUP(BH$3,'Returns &amp; Bonus'!$A$5:$B$15,2,0)</f>
        <v>0</v>
      </c>
    </row>
    <row r="67" spans="1:60" x14ac:dyDescent="0.25">
      <c r="A67" s="77">
        <f>'Amended Data'!A67</f>
        <v>64</v>
      </c>
      <c r="B67" s="75">
        <f>'Amended Data'!K67</f>
        <v>42005</v>
      </c>
      <c r="C67" s="55">
        <f>'Amended Data'!J67</f>
        <v>3821</v>
      </c>
      <c r="D67" s="56">
        <f>'Amended Data'!L67</f>
        <v>24</v>
      </c>
      <c r="E67" s="57">
        <f>'Amended Data'!M67</f>
        <v>1365.0174999999999</v>
      </c>
      <c r="F67" s="57" t="str">
        <f>'Data &amp; Formulae'!H75</f>
        <v>Y</v>
      </c>
      <c r="G67" s="57">
        <f t="shared" si="22"/>
        <v>0</v>
      </c>
      <c r="H67" s="57">
        <f t="shared" si="22"/>
        <v>0</v>
      </c>
      <c r="I67" s="57">
        <f t="shared" si="22"/>
        <v>0</v>
      </c>
      <c r="J67" s="57">
        <f t="shared" si="22"/>
        <v>0</v>
      </c>
      <c r="K67" s="57">
        <f t="shared" si="22"/>
        <v>0</v>
      </c>
      <c r="L67" s="57">
        <f t="shared" si="22"/>
        <v>3821</v>
      </c>
      <c r="M67" s="57">
        <f t="shared" si="22"/>
        <v>3821</v>
      </c>
      <c r="N67" s="57">
        <f t="shared" si="22"/>
        <v>3821</v>
      </c>
      <c r="O67" s="57">
        <f t="shared" si="22"/>
        <v>3821</v>
      </c>
      <c r="P67" s="57">
        <f t="shared" si="22"/>
        <v>3821</v>
      </c>
      <c r="Q67" s="57">
        <f t="shared" si="22"/>
        <v>3821</v>
      </c>
      <c r="R67" s="57">
        <f>IF(R$3=2010,G67*(1+VLOOKUP(R$3,'Returns &amp; Bonus'!$A$5:$B$15,2,0)),(G67+Q67)*(1+VLOOKUP(R$3,'Returns &amp; Bonus'!$A$5:$B$15,2,0)))</f>
        <v>0</v>
      </c>
      <c r="S67" s="57">
        <f>IF(S$3=2010,H67*(1+VLOOKUP(S$3,'Returns &amp; Bonus'!$A$5:$B$15,2,0)),(H67+R67)*(1+VLOOKUP(S$3,'Returns &amp; Bonus'!$A$5:$B$15,2,0)))</f>
        <v>0</v>
      </c>
      <c r="T67" s="57">
        <f>IF(T$3=2010,I67*(1+VLOOKUP(T$3,'Returns &amp; Bonus'!$A$5:$B$15,2,0)),(I67+S67)*(1+VLOOKUP(T$3,'Returns &amp; Bonus'!$A$5:$B$15,2,0)))</f>
        <v>0</v>
      </c>
      <c r="U67" s="57">
        <f>IF(U$3=2010,J67*(1+VLOOKUP(U$3,'Returns &amp; Bonus'!$A$5:$B$15,2,0)),(J67+T67)*(1+VLOOKUP(U$3,'Returns &amp; Bonus'!$A$5:$B$15,2,0)))</f>
        <v>0</v>
      </c>
      <c r="V67" s="57">
        <f>IF(V$3=2010,K67*(1+VLOOKUP(V$3,'Returns &amp; Bonus'!$A$5:$B$15,2,0)),(K67+U67)*(1+VLOOKUP(V$3,'Returns &amp; Bonus'!$A$5:$B$15,2,0)))</f>
        <v>0</v>
      </c>
      <c r="W67" s="57">
        <f>IF(W$3=2010,L67*(1+VLOOKUP(W$3,'Returns &amp; Bonus'!$A$5:$B$15,2,0)),(L67+V67)*(1+VLOOKUP(W$3,'Returns &amp; Bonus'!$A$5:$B$15,2,0)))</f>
        <v>4929.09</v>
      </c>
      <c r="X67" s="57">
        <f>IF(X$3=2010,M67*(1+VLOOKUP(X$3,'Returns &amp; Bonus'!$A$5:$B$15,2,0)),(M67+W67)*(1+VLOOKUP(X$3,'Returns &amp; Bonus'!$A$5:$B$15,2,0)))</f>
        <v>8575.0882000000001</v>
      </c>
      <c r="Y67" s="57">
        <f>IF(Y$3=2010,N67*(1+VLOOKUP(Y$3,'Returns &amp; Bonus'!$A$5:$B$15,2,0)),(N67+X67)*(1+VLOOKUP(Y$3,'Returns &amp; Bonus'!$A$5:$B$15,2,0)))</f>
        <v>11776.283789999999</v>
      </c>
      <c r="Z67" s="57">
        <f>IF(Z$3=2010,O67*(1+VLOOKUP(Z$3,'Returns &amp; Bonus'!$A$5:$B$15,2,0)),(O67+Y67)*(1+VLOOKUP(Z$3,'Returns &amp; Bonus'!$A$5:$B$15,2,0)))</f>
        <v>17624.930682699996</v>
      </c>
      <c r="AA67" s="57">
        <f>IF(AA$3=2010,P67*(1+VLOOKUP(AA$3,'Returns &amp; Bonus'!$A$5:$B$15,2,0)),(P67+Z67)*(1+VLOOKUP(AA$3,'Returns &amp; Bonus'!$A$5:$B$15,2,0)))</f>
        <v>23804.983057796999</v>
      </c>
      <c r="AB67" s="81">
        <f>IF(AB$3=2010,Q67*(1+VLOOKUP(AB$3,'Returns &amp; Bonus'!$A$5:$B$15,2,0)),(Q67+AA67)*(1+VLOOKUP(AB$3,'Returns &amp; Bonus'!$A$5:$B$15,2,0)))</f>
        <v>27073.463396641058</v>
      </c>
      <c r="AC67" s="85"/>
      <c r="AD67" s="58">
        <f t="shared" si="15"/>
        <v>25708.44589664106</v>
      </c>
      <c r="AE67" s="58">
        <f t="shared" si="16"/>
        <v>0</v>
      </c>
      <c r="AF67" s="58">
        <f t="shared" si="9"/>
        <v>1365.0174999999999</v>
      </c>
      <c r="AG67" s="58">
        <f t="shared" si="10"/>
        <v>25708.44589664106</v>
      </c>
      <c r="AH67" s="55">
        <f>IF(VLOOKUP(A67,'Data &amp; Formulae'!$A$11:$F$91,6,0)="Y",BonusFundProp*AF67*VLOOKUP(YEAR(B67),'Returns &amp; Bonus'!$G$4:$I$15,3,0),0)</f>
        <v>300.30385000000001</v>
      </c>
      <c r="AI67" s="55">
        <f>IF(VLOOKUP(A67,'Data &amp; Formulae'!$A$11:$F$91,6,0)="Y",ClaimFundProp*AF67+AH67,0)</f>
        <v>1392.3178499999999</v>
      </c>
      <c r="AJ67" s="55">
        <f t="shared" si="17"/>
        <v>1392.3178499999999</v>
      </c>
      <c r="AK67" s="55">
        <f t="shared" si="11"/>
        <v>-27.30034999999998</v>
      </c>
      <c r="AL67" s="60"/>
      <c r="AM67" s="71">
        <f t="shared" si="18"/>
        <v>1392.3178499999999</v>
      </c>
      <c r="AN67" s="55">
        <f t="shared" si="12"/>
        <v>-27.30034999999998</v>
      </c>
      <c r="AO67" s="60"/>
      <c r="AP67" s="71">
        <f>IF(VLOOKUP(A67,'Data &amp; Formulae'!$A$11:$F$91,6,0)="Y",Scen2Bonus*AF67,0)</f>
        <v>286.65367499999996</v>
      </c>
      <c r="AQ67" s="55">
        <f>IF(VLOOKUP(A67,'Data &amp; Formulae'!$A$11:$F$91,6,0)="Y",ClaimFundProp*AF67+AP67,0)</f>
        <v>1378.6676749999999</v>
      </c>
      <c r="AR67" s="55">
        <f t="shared" si="19"/>
        <v>1378.6676749999999</v>
      </c>
      <c r="AS67" s="55">
        <f t="shared" si="13"/>
        <v>-13.65017499999999</v>
      </c>
      <c r="AT67" s="60"/>
      <c r="AU67" s="71">
        <f>IF(VLOOKUP(A67,'Data &amp; Formulae'!$A$11:$F$91,6,0)="Y",SurrPay*AF67,0)</f>
        <v>34.125437499999997</v>
      </c>
      <c r="AV67" s="73"/>
      <c r="AX67" s="4" t="b">
        <f t="shared" si="20"/>
        <v>1</v>
      </c>
      <c r="AY67" s="89" t="e">
        <f>(S67/(R67+H67)-1)-VLOOKUP(AY$3,'Returns &amp; Bonus'!$A$5:$B$15,2,0)</f>
        <v>#DIV/0!</v>
      </c>
      <c r="AZ67" s="89" t="e">
        <f>(T67/(S67+I67)-1)-VLOOKUP(AZ$3,'Returns &amp; Bonus'!$A$5:$B$15,2,0)</f>
        <v>#DIV/0!</v>
      </c>
      <c r="BA67" s="89" t="e">
        <f>(U67/(T67+J67)-1)-VLOOKUP(BA$3,'Returns &amp; Bonus'!$A$5:$B$15,2,0)</f>
        <v>#DIV/0!</v>
      </c>
      <c r="BB67" s="89" t="e">
        <f>(V67/(U67+K67)-1)-VLOOKUP(BB$3,'Returns &amp; Bonus'!$A$5:$B$15,2,0)</f>
        <v>#DIV/0!</v>
      </c>
      <c r="BC67" s="89">
        <f>(W67/(V67+L67)-1)-VLOOKUP(BC$3,'Returns &amp; Bonus'!$A$5:$B$15,2,0)</f>
        <v>0</v>
      </c>
      <c r="BD67" s="89">
        <f>(X67/(W67+M67)-1)-VLOOKUP(BD$3,'Returns &amp; Bonus'!$A$5:$B$15,2,0)</f>
        <v>0</v>
      </c>
      <c r="BE67" s="89">
        <f>(Y67/(X67+N67)-1)-VLOOKUP(BE$3,'Returns &amp; Bonus'!$A$5:$B$15,2,0)</f>
        <v>0</v>
      </c>
      <c r="BF67" s="89">
        <f>(Z67/(Y67+O67)-1)-VLOOKUP(BF$3,'Returns &amp; Bonus'!$A$5:$B$15,2,0)</f>
        <v>0</v>
      </c>
      <c r="BG67" s="89">
        <f>(AA67/(Z67+P67)-1)-VLOOKUP(BG$3,'Returns &amp; Bonus'!$A$5:$B$15,2,0)</f>
        <v>0</v>
      </c>
      <c r="BH67" s="89">
        <f>(AB67/(AA67+Q67)-1)-VLOOKUP(BH$3,'Returns &amp; Bonus'!$A$5:$B$15,2,0)</f>
        <v>0</v>
      </c>
    </row>
    <row r="68" spans="1:60" x14ac:dyDescent="0.25">
      <c r="A68" s="77">
        <f>'Amended Data'!A68</f>
        <v>65</v>
      </c>
      <c r="B68" s="75">
        <f>'Amended Data'!K68</f>
        <v>42005</v>
      </c>
      <c r="C68" s="55">
        <f>'Amended Data'!J68</f>
        <v>9783</v>
      </c>
      <c r="D68" s="56">
        <f>'Amended Data'!L68</f>
        <v>9</v>
      </c>
      <c r="E68" s="57">
        <f>'Amended Data'!M68</f>
        <v>1404.2174999999997</v>
      </c>
      <c r="F68" s="57" t="str">
        <f>'Data &amp; Formulae'!H76</f>
        <v>Y</v>
      </c>
      <c r="G68" s="57">
        <f t="shared" si="22"/>
        <v>0</v>
      </c>
      <c r="H68" s="57">
        <f t="shared" si="22"/>
        <v>0</v>
      </c>
      <c r="I68" s="57">
        <f t="shared" si="22"/>
        <v>0</v>
      </c>
      <c r="J68" s="57">
        <f t="shared" si="22"/>
        <v>0</v>
      </c>
      <c r="K68" s="57">
        <f t="shared" si="22"/>
        <v>0</v>
      </c>
      <c r="L68" s="57">
        <f t="shared" si="22"/>
        <v>9783</v>
      </c>
      <c r="M68" s="57">
        <f t="shared" si="22"/>
        <v>9783</v>
      </c>
      <c r="N68" s="57">
        <f t="shared" si="22"/>
        <v>9783</v>
      </c>
      <c r="O68" s="57">
        <f t="shared" si="22"/>
        <v>9783</v>
      </c>
      <c r="P68" s="57">
        <f t="shared" si="22"/>
        <v>9783</v>
      </c>
      <c r="Q68" s="57">
        <f t="shared" si="22"/>
        <v>9783</v>
      </c>
      <c r="R68" s="57">
        <f>IF(R$3=2010,G68*(1+VLOOKUP(R$3,'Returns &amp; Bonus'!$A$5:$B$15,2,0)),(G68+Q68)*(1+VLOOKUP(R$3,'Returns &amp; Bonus'!$A$5:$B$15,2,0)))</f>
        <v>0</v>
      </c>
      <c r="S68" s="57">
        <f>IF(S$3=2010,H68*(1+VLOOKUP(S$3,'Returns &amp; Bonus'!$A$5:$B$15,2,0)),(H68+R68)*(1+VLOOKUP(S$3,'Returns &amp; Bonus'!$A$5:$B$15,2,0)))</f>
        <v>0</v>
      </c>
      <c r="T68" s="57">
        <f>IF(T$3=2010,I68*(1+VLOOKUP(T$3,'Returns &amp; Bonus'!$A$5:$B$15,2,0)),(I68+S68)*(1+VLOOKUP(T$3,'Returns &amp; Bonus'!$A$5:$B$15,2,0)))</f>
        <v>0</v>
      </c>
      <c r="U68" s="57">
        <f>IF(U$3=2010,J68*(1+VLOOKUP(U$3,'Returns &amp; Bonus'!$A$5:$B$15,2,0)),(J68+T68)*(1+VLOOKUP(U$3,'Returns &amp; Bonus'!$A$5:$B$15,2,0)))</f>
        <v>0</v>
      </c>
      <c r="V68" s="57">
        <f>IF(V$3=2010,K68*(1+VLOOKUP(V$3,'Returns &amp; Bonus'!$A$5:$B$15,2,0)),(K68+U68)*(1+VLOOKUP(V$3,'Returns &amp; Bonus'!$A$5:$B$15,2,0)))</f>
        <v>0</v>
      </c>
      <c r="W68" s="57">
        <f>IF(W$3=2010,L68*(1+VLOOKUP(W$3,'Returns &amp; Bonus'!$A$5:$B$15,2,0)),(L68+V68)*(1+VLOOKUP(W$3,'Returns &amp; Bonus'!$A$5:$B$15,2,0)))</f>
        <v>12620.07</v>
      </c>
      <c r="X68" s="57">
        <f>IF(X$3=2010,M68*(1+VLOOKUP(X$3,'Returns &amp; Bonus'!$A$5:$B$15,2,0)),(M68+W68)*(1+VLOOKUP(X$3,'Returns &amp; Bonus'!$A$5:$B$15,2,0)))</f>
        <v>21955.008600000001</v>
      </c>
      <c r="Y68" s="57">
        <f>IF(Y$3=2010,N68*(1+VLOOKUP(Y$3,'Returns &amp; Bonus'!$A$5:$B$15,2,0)),(N68+X68)*(1+VLOOKUP(Y$3,'Returns &amp; Bonus'!$A$5:$B$15,2,0)))</f>
        <v>30151.10817</v>
      </c>
      <c r="Z68" s="57">
        <f>IF(Z$3=2010,O68*(1+VLOOKUP(Z$3,'Returns &amp; Bonus'!$A$5:$B$15,2,0)),(O68+Y68)*(1+VLOOKUP(Z$3,'Returns &amp; Bonus'!$A$5:$B$15,2,0)))</f>
        <v>45125.542232099993</v>
      </c>
      <c r="AA68" s="57">
        <f>IF(AA$3=2010,P68*(1+VLOOKUP(AA$3,'Returns &amp; Bonus'!$A$5:$B$15,2,0)),(P68+Z68)*(1+VLOOKUP(AA$3,'Returns &amp; Bonus'!$A$5:$B$15,2,0)))</f>
        <v>60948.481877630998</v>
      </c>
      <c r="AB68" s="81">
        <f>IF(AB$3=2010,Q68*(1+VLOOKUP(AB$3,'Returns &amp; Bonus'!$A$5:$B$15,2,0)),(Q68+AA68)*(1+VLOOKUP(AB$3,'Returns &amp; Bonus'!$A$5:$B$15,2,0)))</f>
        <v>69316.852240078384</v>
      </c>
      <c r="AC68" s="85"/>
      <c r="AD68" s="58">
        <f t="shared" ref="AD68:AD83" si="23">AB68-E68</f>
        <v>67912.634740078385</v>
      </c>
      <c r="AE68" s="58">
        <f t="shared" ref="AE68:AE83" si="24">IF(F68="N",IF(AD68&lt;&gt;0,"ERROR",0),0)</f>
        <v>0</v>
      </c>
      <c r="AF68" s="58">
        <f t="shared" si="9"/>
        <v>1404.2174999999997</v>
      </c>
      <c r="AG68" s="58">
        <f t="shared" si="10"/>
        <v>67912.634740078385</v>
      </c>
      <c r="AH68" s="55">
        <f>IF(VLOOKUP(A68,'Data &amp; Formulae'!$A$11:$F$91,6,0)="Y",BonusFundProp*AF68*VLOOKUP(YEAR(B68),'Returns &amp; Bonus'!$G$4:$I$15,3,0),0)</f>
        <v>308.92784999999998</v>
      </c>
      <c r="AI68" s="55">
        <f>IF(VLOOKUP(A68,'Data &amp; Formulae'!$A$11:$F$91,6,0)="Y",ClaimFundProp*AF68+AH68,0)</f>
        <v>1432.3018499999998</v>
      </c>
      <c r="AJ68" s="55">
        <f t="shared" ref="AJ68:AJ83" si="25">IF((AI68+AG68)&gt;C68*D68*BaseLimit,MAX((C68*D68*BaseLimit-AG68),0),AI68)</f>
        <v>1432.3018499999998</v>
      </c>
      <c r="AK68" s="55">
        <f t="shared" si="11"/>
        <v>-28.084350000000086</v>
      </c>
      <c r="AL68" s="60"/>
      <c r="AM68" s="71">
        <f t="shared" ref="AM68:AM83" si="26">IF((AI68+AG68)&gt;C68*D68*Scen1Limit,MAX((C68*D68*Scen1Limit-AG68),0),AI68)</f>
        <v>1432.3018499999998</v>
      </c>
      <c r="AN68" s="55">
        <f t="shared" si="12"/>
        <v>-28.084350000000086</v>
      </c>
      <c r="AO68" s="60"/>
      <c r="AP68" s="71">
        <f>IF(VLOOKUP(A68,'Data &amp; Formulae'!$A$11:$F$91,6,0)="Y",Scen2Bonus*AF68,0)</f>
        <v>294.88567499999994</v>
      </c>
      <c r="AQ68" s="55">
        <f>IF(VLOOKUP(A68,'Data &amp; Formulae'!$A$11:$F$91,6,0)="Y",ClaimFundProp*AF68+AP68,0)</f>
        <v>1418.2596749999998</v>
      </c>
      <c r="AR68" s="55">
        <f t="shared" ref="AR68:AR83" si="27">IF((AQ68+AG68)&gt;C68*D68*BaseLimit,MAX((C68*D68*BaseLimit-AG68),0),AQ68)</f>
        <v>1418.2596749999998</v>
      </c>
      <c r="AS68" s="55">
        <f t="shared" si="13"/>
        <v>-14.042175000000043</v>
      </c>
      <c r="AT68" s="60"/>
      <c r="AU68" s="71">
        <f>IF(VLOOKUP(A68,'Data &amp; Formulae'!$A$11:$F$91,6,0)="Y",SurrPay*AF68,0)</f>
        <v>35.105437499999994</v>
      </c>
      <c r="AV68" s="73"/>
      <c r="AX68" s="4" t="b">
        <f t="shared" ref="AX68:AX83" si="28">SUM(G68:Q68)=C68*(YEAR(ValDate)-YEAR(B68)+1)</f>
        <v>1</v>
      </c>
      <c r="AY68" s="89" t="e">
        <f>(S68/(R68+H68)-1)-VLOOKUP(AY$3,'Returns &amp; Bonus'!$A$5:$B$15,2,0)</f>
        <v>#DIV/0!</v>
      </c>
      <c r="AZ68" s="89" t="e">
        <f>(T68/(S68+I68)-1)-VLOOKUP(AZ$3,'Returns &amp; Bonus'!$A$5:$B$15,2,0)</f>
        <v>#DIV/0!</v>
      </c>
      <c r="BA68" s="89" t="e">
        <f>(U68/(T68+J68)-1)-VLOOKUP(BA$3,'Returns &amp; Bonus'!$A$5:$B$15,2,0)</f>
        <v>#DIV/0!</v>
      </c>
      <c r="BB68" s="89" t="e">
        <f>(V68/(U68+K68)-1)-VLOOKUP(BB$3,'Returns &amp; Bonus'!$A$5:$B$15,2,0)</f>
        <v>#DIV/0!</v>
      </c>
      <c r="BC68" s="89">
        <f>(W68/(V68+L68)-1)-VLOOKUP(BC$3,'Returns &amp; Bonus'!$A$5:$B$15,2,0)</f>
        <v>0</v>
      </c>
      <c r="BD68" s="89">
        <f>(X68/(W68+M68)-1)-VLOOKUP(BD$3,'Returns &amp; Bonus'!$A$5:$B$15,2,0)</f>
        <v>9.3675067702747583E-17</v>
      </c>
      <c r="BE68" s="89">
        <f>(Y68/(X68+N68)-1)-VLOOKUP(BE$3,'Returns &amp; Bonus'!$A$5:$B$15,2,0)</f>
        <v>0</v>
      </c>
      <c r="BF68" s="89">
        <f>(Z68/(Y68+O68)-1)-VLOOKUP(BF$3,'Returns &amp; Bonus'!$A$5:$B$15,2,0)</f>
        <v>0</v>
      </c>
      <c r="BG68" s="89">
        <f>(AA68/(Z68+P68)-1)-VLOOKUP(BG$3,'Returns &amp; Bonus'!$A$5:$B$15,2,0)</f>
        <v>0</v>
      </c>
      <c r="BH68" s="89">
        <f>(AB68/(AA68+Q68)-1)-VLOOKUP(BH$3,'Returns &amp; Bonus'!$A$5:$B$15,2,0)</f>
        <v>9.3675067702747583E-17</v>
      </c>
    </row>
    <row r="69" spans="1:60" x14ac:dyDescent="0.25">
      <c r="A69" s="77">
        <f>'Amended Data'!A69</f>
        <v>66</v>
      </c>
      <c r="B69" s="75">
        <f>'Amended Data'!K69</f>
        <v>42005</v>
      </c>
      <c r="C69" s="55">
        <f>'Amended Data'!J69</f>
        <v>6394</v>
      </c>
      <c r="D69" s="56">
        <f>'Amended Data'!L69</f>
        <v>24</v>
      </c>
      <c r="E69" s="57">
        <f>'Amended Data'!M69</f>
        <v>1583.4349999999997</v>
      </c>
      <c r="F69" s="57" t="str">
        <f>'Data &amp; Formulae'!H77</f>
        <v>Y</v>
      </c>
      <c r="G69" s="57">
        <f t="shared" ref="G69:Q83" si="29">IF(YEAR($B69)&lt;=G$3,$C69,0)</f>
        <v>0</v>
      </c>
      <c r="H69" s="57">
        <f t="shared" si="29"/>
        <v>0</v>
      </c>
      <c r="I69" s="57">
        <f t="shared" si="29"/>
        <v>0</v>
      </c>
      <c r="J69" s="57">
        <f t="shared" si="29"/>
        <v>0</v>
      </c>
      <c r="K69" s="57">
        <f t="shared" si="29"/>
        <v>0</v>
      </c>
      <c r="L69" s="57">
        <f t="shared" si="29"/>
        <v>6394</v>
      </c>
      <c r="M69" s="57">
        <f t="shared" si="29"/>
        <v>6394</v>
      </c>
      <c r="N69" s="57">
        <f t="shared" si="29"/>
        <v>6394</v>
      </c>
      <c r="O69" s="57">
        <f t="shared" si="29"/>
        <v>6394</v>
      </c>
      <c r="P69" s="57">
        <f t="shared" si="29"/>
        <v>6394</v>
      </c>
      <c r="Q69" s="57">
        <f t="shared" si="29"/>
        <v>6394</v>
      </c>
      <c r="R69" s="57">
        <f>IF(R$3=2010,G69*(1+VLOOKUP(R$3,'Returns &amp; Bonus'!$A$5:$B$15,2,0)),(G69+Q69)*(1+VLOOKUP(R$3,'Returns &amp; Bonus'!$A$5:$B$15,2,0)))</f>
        <v>0</v>
      </c>
      <c r="S69" s="57">
        <f>IF(S$3=2010,H69*(1+VLOOKUP(S$3,'Returns &amp; Bonus'!$A$5:$B$15,2,0)),(H69+R69)*(1+VLOOKUP(S$3,'Returns &amp; Bonus'!$A$5:$B$15,2,0)))</f>
        <v>0</v>
      </c>
      <c r="T69" s="57">
        <f>IF(T$3=2010,I69*(1+VLOOKUP(T$3,'Returns &amp; Bonus'!$A$5:$B$15,2,0)),(I69+S69)*(1+VLOOKUP(T$3,'Returns &amp; Bonus'!$A$5:$B$15,2,0)))</f>
        <v>0</v>
      </c>
      <c r="U69" s="57">
        <f>IF(U$3=2010,J69*(1+VLOOKUP(U$3,'Returns &amp; Bonus'!$A$5:$B$15,2,0)),(J69+T69)*(1+VLOOKUP(U$3,'Returns &amp; Bonus'!$A$5:$B$15,2,0)))</f>
        <v>0</v>
      </c>
      <c r="V69" s="57">
        <f>IF(V$3=2010,K69*(1+VLOOKUP(V$3,'Returns &amp; Bonus'!$A$5:$B$15,2,0)),(K69+U69)*(1+VLOOKUP(V$3,'Returns &amp; Bonus'!$A$5:$B$15,2,0)))</f>
        <v>0</v>
      </c>
      <c r="W69" s="57">
        <f>IF(W$3=2010,L69*(1+VLOOKUP(W$3,'Returns &amp; Bonus'!$A$5:$B$15,2,0)),(L69+V69)*(1+VLOOKUP(W$3,'Returns &amp; Bonus'!$A$5:$B$15,2,0)))</f>
        <v>8248.26</v>
      </c>
      <c r="X69" s="57">
        <f>IF(X$3=2010,M69*(1+VLOOKUP(X$3,'Returns &amp; Bonus'!$A$5:$B$15,2,0)),(M69+W69)*(1+VLOOKUP(X$3,'Returns &amp; Bonus'!$A$5:$B$15,2,0)))</f>
        <v>14349.4148</v>
      </c>
      <c r="Y69" s="57">
        <f>IF(Y$3=2010,N69*(1+VLOOKUP(Y$3,'Returns &amp; Bonus'!$A$5:$B$15,2,0)),(N69+X69)*(1+VLOOKUP(Y$3,'Returns &amp; Bonus'!$A$5:$B$15,2,0)))</f>
        <v>19706.244059999997</v>
      </c>
      <c r="Z69" s="57">
        <f>IF(Z$3=2010,O69*(1+VLOOKUP(Z$3,'Returns &amp; Bonus'!$A$5:$B$15,2,0)),(O69+Y69)*(1+VLOOKUP(Z$3,'Returns &amp; Bonus'!$A$5:$B$15,2,0)))</f>
        <v>29493.275787799994</v>
      </c>
      <c r="AA69" s="57">
        <f>IF(AA$3=2010,P69*(1+VLOOKUP(AA$3,'Returns &amp; Bonus'!$A$5:$B$15,2,0)),(P69+Z69)*(1+VLOOKUP(AA$3,'Returns &amp; Bonus'!$A$5:$B$15,2,0)))</f>
        <v>39834.876124458002</v>
      </c>
      <c r="AB69" s="81">
        <f>IF(AB$3=2010,Q69*(1+VLOOKUP(AB$3,'Returns &amp; Bonus'!$A$5:$B$15,2,0)),(Q69+AA69)*(1+VLOOKUP(AB$3,'Returns &amp; Bonus'!$A$5:$B$15,2,0)))</f>
        <v>45304.29860196884</v>
      </c>
      <c r="AC69" s="85"/>
      <c r="AD69" s="58">
        <f t="shared" si="23"/>
        <v>43720.863601968842</v>
      </c>
      <c r="AE69" s="58">
        <f t="shared" si="24"/>
        <v>0</v>
      </c>
      <c r="AF69" s="58">
        <f t="shared" ref="AF69:AF83" si="30">IF(AE69&lt;&gt;0,AB69,E69)</f>
        <v>1583.4349999999997</v>
      </c>
      <c r="AG69" s="58">
        <f t="shared" ref="AG69:AG83" si="31">IF(AE69=0,AD69,0)</f>
        <v>43720.863601968842</v>
      </c>
      <c r="AH69" s="55">
        <f>IF(VLOOKUP(A69,'Data &amp; Formulae'!$A$11:$F$91,6,0)="Y",BonusFundProp*AF69*VLOOKUP(YEAR(B69),'Returns &amp; Bonus'!$G$4:$I$15,3,0),0)</f>
        <v>0</v>
      </c>
      <c r="AI69" s="55">
        <f>IF(VLOOKUP(A69,'Data &amp; Formulae'!$A$11:$F$91,6,0)="Y",ClaimFundProp*AF69+AH69,0)</f>
        <v>0</v>
      </c>
      <c r="AJ69" s="55">
        <f t="shared" si="25"/>
        <v>0</v>
      </c>
      <c r="AK69" s="55">
        <f t="shared" ref="AK69:AK83" si="32">MIN(0,(AF69-AJ69))</f>
        <v>0</v>
      </c>
      <c r="AL69" s="60"/>
      <c r="AM69" s="71">
        <f t="shared" si="26"/>
        <v>0</v>
      </c>
      <c r="AN69" s="55">
        <f t="shared" ref="AN69:AN83" si="33">MIN(0,(AF69-AM69))</f>
        <v>0</v>
      </c>
      <c r="AO69" s="60"/>
      <c r="AP69" s="71">
        <f>IF(VLOOKUP(A69,'Data &amp; Formulae'!$A$11:$F$91,6,0)="Y",Scen2Bonus*AF69,0)</f>
        <v>0</v>
      </c>
      <c r="AQ69" s="55">
        <f>IF(VLOOKUP(A69,'Data &amp; Formulae'!$A$11:$F$91,6,0)="Y",ClaimFundProp*AF69+AP69,0)</f>
        <v>0</v>
      </c>
      <c r="AR69" s="55">
        <f t="shared" si="27"/>
        <v>0</v>
      </c>
      <c r="AS69" s="55">
        <f t="shared" ref="AS69:AS83" si="34">MIN(0,(AF69-AR69))</f>
        <v>0</v>
      </c>
      <c r="AT69" s="60"/>
      <c r="AU69" s="71">
        <f>IF(VLOOKUP(A69,'Data &amp; Formulae'!$A$11:$F$91,6,0)="Y",SurrPay*AF69,0)</f>
        <v>0</v>
      </c>
      <c r="AV69" s="73"/>
      <c r="AX69" s="4" t="b">
        <f t="shared" si="28"/>
        <v>1</v>
      </c>
      <c r="AY69" s="89" t="e">
        <f>(S69/(R69+H69)-1)-VLOOKUP(AY$3,'Returns &amp; Bonus'!$A$5:$B$15,2,0)</f>
        <v>#DIV/0!</v>
      </c>
      <c r="AZ69" s="89" t="e">
        <f>(T69/(S69+I69)-1)-VLOOKUP(AZ$3,'Returns &amp; Bonus'!$A$5:$B$15,2,0)</f>
        <v>#DIV/0!</v>
      </c>
      <c r="BA69" s="89" t="e">
        <f>(U69/(T69+J69)-1)-VLOOKUP(BA$3,'Returns &amp; Bonus'!$A$5:$B$15,2,0)</f>
        <v>#DIV/0!</v>
      </c>
      <c r="BB69" s="89" t="e">
        <f>(V69/(U69+K69)-1)-VLOOKUP(BB$3,'Returns &amp; Bonus'!$A$5:$B$15,2,0)</f>
        <v>#DIV/0!</v>
      </c>
      <c r="BC69" s="89">
        <f>(W69/(V69+L69)-1)-VLOOKUP(BC$3,'Returns &amp; Bonus'!$A$5:$B$15,2,0)</f>
        <v>0</v>
      </c>
      <c r="BD69" s="89">
        <f>(X69/(W69+M69)-1)-VLOOKUP(BD$3,'Returns &amp; Bonus'!$A$5:$B$15,2,0)</f>
        <v>0</v>
      </c>
      <c r="BE69" s="89">
        <f>(Y69/(X69+N69)-1)-VLOOKUP(BE$3,'Returns &amp; Bonus'!$A$5:$B$15,2,0)</f>
        <v>0</v>
      </c>
      <c r="BF69" s="89">
        <f>(Z69/(Y69+O69)-1)-VLOOKUP(BF$3,'Returns &amp; Bonus'!$A$5:$B$15,2,0)</f>
        <v>0</v>
      </c>
      <c r="BG69" s="89">
        <f>(AA69/(Z69+P69)-1)-VLOOKUP(BG$3,'Returns &amp; Bonus'!$A$5:$B$15,2,0)</f>
        <v>0</v>
      </c>
      <c r="BH69" s="89">
        <f>(AB69/(AA69+Q69)-1)-VLOOKUP(BH$3,'Returns &amp; Bonus'!$A$5:$B$15,2,0)</f>
        <v>0</v>
      </c>
    </row>
    <row r="70" spans="1:60" x14ac:dyDescent="0.25">
      <c r="A70" s="77">
        <f>'Amended Data'!A70</f>
        <v>67</v>
      </c>
      <c r="B70" s="75">
        <f>'Amended Data'!K70</f>
        <v>42005</v>
      </c>
      <c r="C70" s="55">
        <f>'Amended Data'!J70</f>
        <v>1466</v>
      </c>
      <c r="D70" s="56">
        <f>'Amended Data'!L70</f>
        <v>11</v>
      </c>
      <c r="E70" s="57">
        <f>'Amended Data'!M70</f>
        <v>10387.25394909076</v>
      </c>
      <c r="F70" s="57" t="str">
        <f>'Data &amp; Formulae'!H78</f>
        <v>N</v>
      </c>
      <c r="G70" s="57">
        <f t="shared" si="29"/>
        <v>0</v>
      </c>
      <c r="H70" s="57">
        <f t="shared" si="29"/>
        <v>0</v>
      </c>
      <c r="I70" s="57">
        <f t="shared" si="29"/>
        <v>0</v>
      </c>
      <c r="J70" s="57">
        <f t="shared" si="29"/>
        <v>0</v>
      </c>
      <c r="K70" s="57">
        <f t="shared" si="29"/>
        <v>0</v>
      </c>
      <c r="L70" s="57">
        <f t="shared" si="29"/>
        <v>1466</v>
      </c>
      <c r="M70" s="57">
        <f t="shared" si="29"/>
        <v>1466</v>
      </c>
      <c r="N70" s="57">
        <f t="shared" si="29"/>
        <v>1466</v>
      </c>
      <c r="O70" s="57">
        <f t="shared" si="29"/>
        <v>1466</v>
      </c>
      <c r="P70" s="57">
        <f t="shared" si="29"/>
        <v>1466</v>
      </c>
      <c r="Q70" s="57">
        <f t="shared" si="29"/>
        <v>1466</v>
      </c>
      <c r="R70" s="57">
        <f>IF(R$3=2010,G70*(1+VLOOKUP(R$3,'Returns &amp; Bonus'!$A$5:$B$15,2,0)),(G70+Q70)*(1+VLOOKUP(R$3,'Returns &amp; Bonus'!$A$5:$B$15,2,0)))</f>
        <v>0</v>
      </c>
      <c r="S70" s="57">
        <f>IF(S$3=2010,H70*(1+VLOOKUP(S$3,'Returns &amp; Bonus'!$A$5:$B$15,2,0)),(H70+R70)*(1+VLOOKUP(S$3,'Returns &amp; Bonus'!$A$5:$B$15,2,0)))</f>
        <v>0</v>
      </c>
      <c r="T70" s="57">
        <f>IF(T$3=2010,I70*(1+VLOOKUP(T$3,'Returns &amp; Bonus'!$A$5:$B$15,2,0)),(I70+S70)*(1+VLOOKUP(T$3,'Returns &amp; Bonus'!$A$5:$B$15,2,0)))</f>
        <v>0</v>
      </c>
      <c r="U70" s="57">
        <f>IF(U$3=2010,J70*(1+VLOOKUP(U$3,'Returns &amp; Bonus'!$A$5:$B$15,2,0)),(J70+T70)*(1+VLOOKUP(U$3,'Returns &amp; Bonus'!$A$5:$B$15,2,0)))</f>
        <v>0</v>
      </c>
      <c r="V70" s="57">
        <f>IF(V$3=2010,K70*(1+VLOOKUP(V$3,'Returns &amp; Bonus'!$A$5:$B$15,2,0)),(K70+U70)*(1+VLOOKUP(V$3,'Returns &amp; Bonus'!$A$5:$B$15,2,0)))</f>
        <v>0</v>
      </c>
      <c r="W70" s="57">
        <f>IF(W$3=2010,L70*(1+VLOOKUP(W$3,'Returns &amp; Bonus'!$A$5:$B$15,2,0)),(L70+V70)*(1+VLOOKUP(W$3,'Returns &amp; Bonus'!$A$5:$B$15,2,0)))</f>
        <v>1891.14</v>
      </c>
      <c r="X70" s="57">
        <f>IF(X$3=2010,M70*(1+VLOOKUP(X$3,'Returns &amp; Bonus'!$A$5:$B$15,2,0)),(M70+W70)*(1+VLOOKUP(X$3,'Returns &amp; Bonus'!$A$5:$B$15,2,0)))</f>
        <v>3289.9972000000002</v>
      </c>
      <c r="Y70" s="57">
        <f>IF(Y$3=2010,N70*(1+VLOOKUP(Y$3,'Returns &amp; Bonus'!$A$5:$B$15,2,0)),(N70+X70)*(1+VLOOKUP(Y$3,'Returns &amp; Bonus'!$A$5:$B$15,2,0)))</f>
        <v>4518.1973399999997</v>
      </c>
      <c r="Z70" s="57">
        <f>IF(Z$3=2010,O70*(1+VLOOKUP(Z$3,'Returns &amp; Bonus'!$A$5:$B$15,2,0)),(O70+Y70)*(1+VLOOKUP(Z$3,'Returns &amp; Bonus'!$A$5:$B$15,2,0)))</f>
        <v>6762.1429941999986</v>
      </c>
      <c r="AA70" s="57">
        <f>IF(AA$3=2010,P70*(1+VLOOKUP(AA$3,'Returns &amp; Bonus'!$A$5:$B$15,2,0)),(P70+Z70)*(1+VLOOKUP(AA$3,'Returns &amp; Bonus'!$A$5:$B$15,2,0)))</f>
        <v>9133.2387235620008</v>
      </c>
      <c r="AB70" s="81">
        <f>IF(AB$3=2010,Q70*(1+VLOOKUP(AB$3,'Returns &amp; Bonus'!$A$5:$B$15,2,0)),(Q70+AA70)*(1+VLOOKUP(AB$3,'Returns &amp; Bonus'!$A$5:$B$15,2,0)))</f>
        <v>10387.25394909076</v>
      </c>
      <c r="AC70" s="85"/>
      <c r="AD70" s="58">
        <f t="shared" si="23"/>
        <v>0</v>
      </c>
      <c r="AE70" s="58">
        <f t="shared" si="24"/>
        <v>0</v>
      </c>
      <c r="AF70" s="58">
        <f t="shared" si="30"/>
        <v>10387.25394909076</v>
      </c>
      <c r="AG70" s="58">
        <f t="shared" si="31"/>
        <v>0</v>
      </c>
      <c r="AH70" s="55">
        <f>IF(VLOOKUP(A70,'Data &amp; Formulae'!$A$11:$F$91,6,0)="Y",BonusFundProp*AF70*VLOOKUP(YEAR(B70),'Returns &amp; Bonus'!$G$4:$I$15,3,0),0)</f>
        <v>2285.1958687999677</v>
      </c>
      <c r="AI70" s="55">
        <f>IF(VLOOKUP(A70,'Data &amp; Formulae'!$A$11:$F$91,6,0)="Y",ClaimFundProp*AF70+AH70,0)</f>
        <v>10594.999028072576</v>
      </c>
      <c r="AJ70" s="55">
        <f t="shared" si="25"/>
        <v>10594.999028072576</v>
      </c>
      <c r="AK70" s="55">
        <f t="shared" si="32"/>
        <v>-207.74507898181582</v>
      </c>
      <c r="AL70" s="60"/>
      <c r="AM70" s="71">
        <f t="shared" si="26"/>
        <v>10594.999028072576</v>
      </c>
      <c r="AN70" s="55">
        <f t="shared" si="33"/>
        <v>-207.74507898181582</v>
      </c>
      <c r="AO70" s="60"/>
      <c r="AP70" s="71">
        <f>IF(VLOOKUP(A70,'Data &amp; Formulae'!$A$11:$F$91,6,0)="Y",Scen2Bonus*AF70,0)</f>
        <v>2181.3233293090598</v>
      </c>
      <c r="AQ70" s="55">
        <f>IF(VLOOKUP(A70,'Data &amp; Formulae'!$A$11:$F$91,6,0)="Y",ClaimFundProp*AF70+AP70,0)</f>
        <v>10491.126488581669</v>
      </c>
      <c r="AR70" s="55">
        <f t="shared" si="27"/>
        <v>10491.126488581669</v>
      </c>
      <c r="AS70" s="55">
        <f t="shared" si="34"/>
        <v>-103.87253949090882</v>
      </c>
      <c r="AT70" s="60"/>
      <c r="AU70" s="71">
        <f>IF(VLOOKUP(A70,'Data &amp; Formulae'!$A$11:$F$91,6,0)="Y",SurrPay*AF70,0)</f>
        <v>259.68134872726904</v>
      </c>
      <c r="AV70" s="73"/>
      <c r="AX70" s="4" t="b">
        <f t="shared" si="28"/>
        <v>1</v>
      </c>
      <c r="AY70" s="89" t="e">
        <f>(S70/(R70+H70)-1)-VLOOKUP(AY$3,'Returns &amp; Bonus'!$A$5:$B$15,2,0)</f>
        <v>#DIV/0!</v>
      </c>
      <c r="AZ70" s="89" t="e">
        <f>(T70/(S70+I70)-1)-VLOOKUP(AZ$3,'Returns &amp; Bonus'!$A$5:$B$15,2,0)</f>
        <v>#DIV/0!</v>
      </c>
      <c r="BA70" s="89" t="e">
        <f>(U70/(T70+J70)-1)-VLOOKUP(BA$3,'Returns &amp; Bonus'!$A$5:$B$15,2,0)</f>
        <v>#DIV/0!</v>
      </c>
      <c r="BB70" s="89" t="e">
        <f>(V70/(U70+K70)-1)-VLOOKUP(BB$3,'Returns &amp; Bonus'!$A$5:$B$15,2,0)</f>
        <v>#DIV/0!</v>
      </c>
      <c r="BC70" s="89">
        <f>(W70/(V70+L70)-1)-VLOOKUP(BC$3,'Returns &amp; Bonus'!$A$5:$B$15,2,0)</f>
        <v>0</v>
      </c>
      <c r="BD70" s="89">
        <f>(X70/(W70+M70)-1)-VLOOKUP(BD$3,'Returns &amp; Bonus'!$A$5:$B$15,2,0)</f>
        <v>0</v>
      </c>
      <c r="BE70" s="89">
        <f>(Y70/(X70+N70)-1)-VLOOKUP(BE$3,'Returns &amp; Bonus'!$A$5:$B$15,2,0)</f>
        <v>0</v>
      </c>
      <c r="BF70" s="89">
        <f>(Z70/(Y70+O70)-1)-VLOOKUP(BF$3,'Returns &amp; Bonus'!$A$5:$B$15,2,0)</f>
        <v>0</v>
      </c>
      <c r="BG70" s="89">
        <f>(AA70/(Z70+P70)-1)-VLOOKUP(BG$3,'Returns &amp; Bonus'!$A$5:$B$15,2,0)</f>
        <v>0</v>
      </c>
      <c r="BH70" s="89">
        <f>(AB70/(AA70+Q70)-1)-VLOOKUP(BH$3,'Returns &amp; Bonus'!$A$5:$B$15,2,0)</f>
        <v>0</v>
      </c>
    </row>
    <row r="71" spans="1:60" x14ac:dyDescent="0.25">
      <c r="A71" s="77">
        <f>'Amended Data'!A71</f>
        <v>68</v>
      </c>
      <c r="B71" s="75">
        <f>'Amended Data'!K71</f>
        <v>42005</v>
      </c>
      <c r="C71" s="55">
        <f>'Amended Data'!J71</f>
        <v>2173</v>
      </c>
      <c r="D71" s="56">
        <f>'Amended Data'!L71</f>
        <v>11</v>
      </c>
      <c r="E71" s="57">
        <f>'Amended Data'!M71</f>
        <v>15396.659502983779</v>
      </c>
      <c r="F71" s="57" t="str">
        <f>'Data &amp; Formulae'!H79</f>
        <v>N</v>
      </c>
      <c r="G71" s="57">
        <f t="shared" si="29"/>
        <v>0</v>
      </c>
      <c r="H71" s="57">
        <f t="shared" si="29"/>
        <v>0</v>
      </c>
      <c r="I71" s="57">
        <f t="shared" si="29"/>
        <v>0</v>
      </c>
      <c r="J71" s="57">
        <f t="shared" si="29"/>
        <v>0</v>
      </c>
      <c r="K71" s="57">
        <f t="shared" si="29"/>
        <v>0</v>
      </c>
      <c r="L71" s="57">
        <f t="shared" si="29"/>
        <v>2173</v>
      </c>
      <c r="M71" s="57">
        <f t="shared" si="29"/>
        <v>2173</v>
      </c>
      <c r="N71" s="57">
        <f t="shared" si="29"/>
        <v>2173</v>
      </c>
      <c r="O71" s="57">
        <f t="shared" si="29"/>
        <v>2173</v>
      </c>
      <c r="P71" s="57">
        <f t="shared" si="29"/>
        <v>2173</v>
      </c>
      <c r="Q71" s="57">
        <f t="shared" si="29"/>
        <v>2173</v>
      </c>
      <c r="R71" s="57">
        <f>IF(R$3=2010,G71*(1+VLOOKUP(R$3,'Returns &amp; Bonus'!$A$5:$B$15,2,0)),(G71+Q71)*(1+VLOOKUP(R$3,'Returns &amp; Bonus'!$A$5:$B$15,2,0)))</f>
        <v>0</v>
      </c>
      <c r="S71" s="57">
        <f>IF(S$3=2010,H71*(1+VLOOKUP(S$3,'Returns &amp; Bonus'!$A$5:$B$15,2,0)),(H71+R71)*(1+VLOOKUP(S$3,'Returns &amp; Bonus'!$A$5:$B$15,2,0)))</f>
        <v>0</v>
      </c>
      <c r="T71" s="57">
        <f>IF(T$3=2010,I71*(1+VLOOKUP(T$3,'Returns &amp; Bonus'!$A$5:$B$15,2,0)),(I71+S71)*(1+VLOOKUP(T$3,'Returns &amp; Bonus'!$A$5:$B$15,2,0)))</f>
        <v>0</v>
      </c>
      <c r="U71" s="57">
        <f>IF(U$3=2010,J71*(1+VLOOKUP(U$3,'Returns &amp; Bonus'!$A$5:$B$15,2,0)),(J71+T71)*(1+VLOOKUP(U$3,'Returns &amp; Bonus'!$A$5:$B$15,2,0)))</f>
        <v>0</v>
      </c>
      <c r="V71" s="57">
        <f>IF(V$3=2010,K71*(1+VLOOKUP(V$3,'Returns &amp; Bonus'!$A$5:$B$15,2,0)),(K71+U71)*(1+VLOOKUP(V$3,'Returns &amp; Bonus'!$A$5:$B$15,2,0)))</f>
        <v>0</v>
      </c>
      <c r="W71" s="57">
        <f>IF(W$3=2010,L71*(1+VLOOKUP(W$3,'Returns &amp; Bonus'!$A$5:$B$15,2,0)),(L71+V71)*(1+VLOOKUP(W$3,'Returns &amp; Bonus'!$A$5:$B$15,2,0)))</f>
        <v>2803.17</v>
      </c>
      <c r="X71" s="57">
        <f>IF(X$3=2010,M71*(1+VLOOKUP(X$3,'Returns &amp; Bonus'!$A$5:$B$15,2,0)),(M71+W71)*(1+VLOOKUP(X$3,'Returns &amp; Bonus'!$A$5:$B$15,2,0)))</f>
        <v>4876.6466</v>
      </c>
      <c r="Y71" s="57">
        <f>IF(Y$3=2010,N71*(1+VLOOKUP(Y$3,'Returns &amp; Bonus'!$A$5:$B$15,2,0)),(N71+X71)*(1+VLOOKUP(Y$3,'Returns &amp; Bonus'!$A$5:$B$15,2,0)))</f>
        <v>6697.1642699999993</v>
      </c>
      <c r="Z71" s="57">
        <f>IF(Z$3=2010,O71*(1+VLOOKUP(Z$3,'Returns &amp; Bonus'!$A$5:$B$15,2,0)),(O71+Y71)*(1+VLOOKUP(Z$3,'Returns &amp; Bonus'!$A$5:$B$15,2,0)))</f>
        <v>10023.285625099998</v>
      </c>
      <c r="AA71" s="57">
        <f>IF(AA$3=2010,P71*(1+VLOOKUP(AA$3,'Returns &amp; Bonus'!$A$5:$B$15,2,0)),(P71+Z71)*(1+VLOOKUP(AA$3,'Returns &amp; Bonus'!$A$5:$B$15,2,0)))</f>
        <v>13537.877043860999</v>
      </c>
      <c r="AB71" s="81">
        <f>IF(AB$3=2010,Q71*(1+VLOOKUP(AB$3,'Returns &amp; Bonus'!$A$5:$B$15,2,0)),(Q71+AA71)*(1+VLOOKUP(AB$3,'Returns &amp; Bonus'!$A$5:$B$15,2,0)))</f>
        <v>15396.659502983779</v>
      </c>
      <c r="AC71" s="85"/>
      <c r="AD71" s="58">
        <f t="shared" si="23"/>
        <v>0</v>
      </c>
      <c r="AE71" s="58">
        <f t="shared" si="24"/>
        <v>0</v>
      </c>
      <c r="AF71" s="58">
        <f t="shared" si="30"/>
        <v>15396.659502983779</v>
      </c>
      <c r="AG71" s="58">
        <f t="shared" si="31"/>
        <v>0</v>
      </c>
      <c r="AH71" s="55">
        <f>IF(VLOOKUP(A71,'Data &amp; Formulae'!$A$11:$F$91,6,0)="Y",BonusFundProp*AF71*VLOOKUP(YEAR(B71),'Returns &amp; Bonus'!$G$4:$I$15,3,0),0)</f>
        <v>0</v>
      </c>
      <c r="AI71" s="55">
        <f>IF(VLOOKUP(A71,'Data &amp; Formulae'!$A$11:$F$91,6,0)="Y",ClaimFundProp*AF71+AH71,0)</f>
        <v>0</v>
      </c>
      <c r="AJ71" s="55">
        <f t="shared" si="25"/>
        <v>0</v>
      </c>
      <c r="AK71" s="55">
        <f t="shared" si="32"/>
        <v>0</v>
      </c>
      <c r="AL71" s="60"/>
      <c r="AM71" s="71">
        <f t="shared" si="26"/>
        <v>0</v>
      </c>
      <c r="AN71" s="55">
        <f t="shared" si="33"/>
        <v>0</v>
      </c>
      <c r="AO71" s="60"/>
      <c r="AP71" s="71">
        <f>IF(VLOOKUP(A71,'Data &amp; Formulae'!$A$11:$F$91,6,0)="Y",Scen2Bonus*AF71,0)</f>
        <v>0</v>
      </c>
      <c r="AQ71" s="55">
        <f>IF(VLOOKUP(A71,'Data &amp; Formulae'!$A$11:$F$91,6,0)="Y",ClaimFundProp*AF71+AP71,0)</f>
        <v>0</v>
      </c>
      <c r="AR71" s="55">
        <f t="shared" si="27"/>
        <v>0</v>
      </c>
      <c r="AS71" s="55">
        <f t="shared" si="34"/>
        <v>0</v>
      </c>
      <c r="AT71" s="60"/>
      <c r="AU71" s="71">
        <f>IF(VLOOKUP(A71,'Data &amp; Formulae'!$A$11:$F$91,6,0)="Y",SurrPay*AF71,0)</f>
        <v>0</v>
      </c>
      <c r="AV71" s="73"/>
      <c r="AX71" s="4" t="b">
        <f t="shared" si="28"/>
        <v>1</v>
      </c>
      <c r="AY71" s="89" t="e">
        <f>(S71/(R71+H71)-1)-VLOOKUP(AY$3,'Returns &amp; Bonus'!$A$5:$B$15,2,0)</f>
        <v>#DIV/0!</v>
      </c>
      <c r="AZ71" s="89" t="e">
        <f>(T71/(S71+I71)-1)-VLOOKUP(AZ$3,'Returns &amp; Bonus'!$A$5:$B$15,2,0)</f>
        <v>#DIV/0!</v>
      </c>
      <c r="BA71" s="89" t="e">
        <f>(U71/(T71+J71)-1)-VLOOKUP(BA$3,'Returns &amp; Bonus'!$A$5:$B$15,2,0)</f>
        <v>#DIV/0!</v>
      </c>
      <c r="BB71" s="89" t="e">
        <f>(V71/(U71+K71)-1)-VLOOKUP(BB$3,'Returns &amp; Bonus'!$A$5:$B$15,2,0)</f>
        <v>#DIV/0!</v>
      </c>
      <c r="BC71" s="89">
        <f>(W71/(V71+L71)-1)-VLOOKUP(BC$3,'Returns &amp; Bonus'!$A$5:$B$15,2,0)</f>
        <v>0</v>
      </c>
      <c r="BD71" s="89">
        <f>(X71/(W71+M71)-1)-VLOOKUP(BD$3,'Returns &amp; Bonus'!$A$5:$B$15,2,0)</f>
        <v>0</v>
      </c>
      <c r="BE71" s="89">
        <f>(Y71/(X71+N71)-1)-VLOOKUP(BE$3,'Returns &amp; Bonus'!$A$5:$B$15,2,0)</f>
        <v>-1.5265566588595902E-16</v>
      </c>
      <c r="BF71" s="89">
        <f>(Z71/(Y71+O71)-1)-VLOOKUP(BF$3,'Returns &amp; Bonus'!$A$5:$B$15,2,0)</f>
        <v>0</v>
      </c>
      <c r="BG71" s="89">
        <f>(AA71/(Z71+P71)-1)-VLOOKUP(BG$3,'Returns &amp; Bonus'!$A$5:$B$15,2,0)</f>
        <v>0</v>
      </c>
      <c r="BH71" s="89">
        <f>(AB71/(AA71+Q71)-1)-VLOOKUP(BH$3,'Returns &amp; Bonus'!$A$5:$B$15,2,0)</f>
        <v>0</v>
      </c>
    </row>
    <row r="72" spans="1:60" x14ac:dyDescent="0.25">
      <c r="A72" s="77">
        <f>'Amended Data'!A72</f>
        <v>69</v>
      </c>
      <c r="B72" s="75">
        <f>'Amended Data'!K72</f>
        <v>42005</v>
      </c>
      <c r="C72" s="55">
        <f>'Amended Data'!J72</f>
        <v>5525</v>
      </c>
      <c r="D72" s="56">
        <f>'Amended Data'!L72</f>
        <v>19</v>
      </c>
      <c r="E72" s="57">
        <f>'Amended Data'!M72</f>
        <v>12270.334999999999</v>
      </c>
      <c r="F72" s="57" t="str">
        <f>'Data &amp; Formulae'!H80</f>
        <v>Y</v>
      </c>
      <c r="G72" s="57">
        <f t="shared" si="29"/>
        <v>0</v>
      </c>
      <c r="H72" s="57">
        <f t="shared" si="29"/>
        <v>0</v>
      </c>
      <c r="I72" s="57">
        <f t="shared" si="29"/>
        <v>0</v>
      </c>
      <c r="J72" s="57">
        <f t="shared" si="29"/>
        <v>0</v>
      </c>
      <c r="K72" s="57">
        <f t="shared" si="29"/>
        <v>0</v>
      </c>
      <c r="L72" s="57">
        <f t="shared" si="29"/>
        <v>5525</v>
      </c>
      <c r="M72" s="57">
        <f t="shared" si="29"/>
        <v>5525</v>
      </c>
      <c r="N72" s="57">
        <f t="shared" si="29"/>
        <v>5525</v>
      </c>
      <c r="O72" s="57">
        <f t="shared" si="29"/>
        <v>5525</v>
      </c>
      <c r="P72" s="57">
        <f t="shared" si="29"/>
        <v>5525</v>
      </c>
      <c r="Q72" s="57">
        <f t="shared" si="29"/>
        <v>5525</v>
      </c>
      <c r="R72" s="57">
        <f>IF(R$3=2010,G72*(1+VLOOKUP(R$3,'Returns &amp; Bonus'!$A$5:$B$15,2,0)),(G72+Q72)*(1+VLOOKUP(R$3,'Returns &amp; Bonus'!$A$5:$B$15,2,0)))</f>
        <v>0</v>
      </c>
      <c r="S72" s="57">
        <f>IF(S$3=2010,H72*(1+VLOOKUP(S$3,'Returns &amp; Bonus'!$A$5:$B$15,2,0)),(H72+R72)*(1+VLOOKUP(S$3,'Returns &amp; Bonus'!$A$5:$B$15,2,0)))</f>
        <v>0</v>
      </c>
      <c r="T72" s="57">
        <f>IF(T$3=2010,I72*(1+VLOOKUP(T$3,'Returns &amp; Bonus'!$A$5:$B$15,2,0)),(I72+S72)*(1+VLOOKUP(T$3,'Returns &amp; Bonus'!$A$5:$B$15,2,0)))</f>
        <v>0</v>
      </c>
      <c r="U72" s="57">
        <f>IF(U$3=2010,J72*(1+VLOOKUP(U$3,'Returns &amp; Bonus'!$A$5:$B$15,2,0)),(J72+T72)*(1+VLOOKUP(U$3,'Returns &amp; Bonus'!$A$5:$B$15,2,0)))</f>
        <v>0</v>
      </c>
      <c r="V72" s="57">
        <f>IF(V$3=2010,K72*(1+VLOOKUP(V$3,'Returns &amp; Bonus'!$A$5:$B$15,2,0)),(K72+U72)*(1+VLOOKUP(V$3,'Returns &amp; Bonus'!$A$5:$B$15,2,0)))</f>
        <v>0</v>
      </c>
      <c r="W72" s="57">
        <f>IF(W$3=2010,L72*(1+VLOOKUP(W$3,'Returns &amp; Bonus'!$A$5:$B$15,2,0)),(L72+V72)*(1+VLOOKUP(W$3,'Returns &amp; Bonus'!$A$5:$B$15,2,0)))</f>
        <v>7127.25</v>
      </c>
      <c r="X72" s="57">
        <f>IF(X$3=2010,M72*(1+VLOOKUP(X$3,'Returns &amp; Bonus'!$A$5:$B$15,2,0)),(M72+W72)*(1+VLOOKUP(X$3,'Returns &amp; Bonus'!$A$5:$B$15,2,0)))</f>
        <v>12399.205</v>
      </c>
      <c r="Y72" s="57">
        <f>IF(Y$3=2010,N72*(1+VLOOKUP(Y$3,'Returns &amp; Bonus'!$A$5:$B$15,2,0)),(N72+X72)*(1+VLOOKUP(Y$3,'Returns &amp; Bonus'!$A$5:$B$15,2,0)))</f>
        <v>17027.994750000002</v>
      </c>
      <c r="Z72" s="57">
        <f>IF(Z$3=2010,O72*(1+VLOOKUP(Z$3,'Returns &amp; Bonus'!$A$5:$B$15,2,0)),(O72+Y72)*(1+VLOOKUP(Z$3,'Returns &amp; Bonus'!$A$5:$B$15,2,0)))</f>
        <v>25484.884067499999</v>
      </c>
      <c r="AA72" s="57">
        <f>IF(AA$3=2010,P72*(1+VLOOKUP(AA$3,'Returns &amp; Bonus'!$A$5:$B$15,2,0)),(P72+Z72)*(1+VLOOKUP(AA$3,'Returns &amp; Bonus'!$A$5:$B$15,2,0)))</f>
        <v>34420.971314925002</v>
      </c>
      <c r="AB72" s="81">
        <f>IF(AB$3=2010,Q72*(1+VLOOKUP(AB$3,'Returns &amp; Bonus'!$A$5:$B$15,2,0)),(Q72+AA72)*(1+VLOOKUP(AB$3,'Returns &amp; Bonus'!$A$5:$B$15,2,0)))</f>
        <v>39147.051888626498</v>
      </c>
      <c r="AC72" s="85"/>
      <c r="AD72" s="58">
        <f t="shared" si="23"/>
        <v>26876.716888626499</v>
      </c>
      <c r="AE72" s="58">
        <f t="shared" si="24"/>
        <v>0</v>
      </c>
      <c r="AF72" s="58">
        <f t="shared" si="30"/>
        <v>12270.334999999999</v>
      </c>
      <c r="AG72" s="58">
        <f t="shared" si="31"/>
        <v>26876.716888626499</v>
      </c>
      <c r="AH72" s="55">
        <f>IF(VLOOKUP(A72,'Data &amp; Formulae'!$A$11:$F$91,6,0)="Y",BonusFundProp*AF72*VLOOKUP(YEAR(B72),'Returns &amp; Bonus'!$G$4:$I$15,3,0),0)</f>
        <v>2699.4737</v>
      </c>
      <c r="AI72" s="55">
        <f>IF(VLOOKUP(A72,'Data &amp; Formulae'!$A$11:$F$91,6,0)="Y",ClaimFundProp*AF72+AH72,0)</f>
        <v>12515.7417</v>
      </c>
      <c r="AJ72" s="55">
        <f t="shared" si="25"/>
        <v>12515.7417</v>
      </c>
      <c r="AK72" s="55">
        <f t="shared" si="32"/>
        <v>-245.40670000000136</v>
      </c>
      <c r="AL72" s="60"/>
      <c r="AM72" s="71">
        <f t="shared" si="26"/>
        <v>12515.7417</v>
      </c>
      <c r="AN72" s="55">
        <f t="shared" si="33"/>
        <v>-245.40670000000136</v>
      </c>
      <c r="AO72" s="60"/>
      <c r="AP72" s="71">
        <f>IF(VLOOKUP(A72,'Data &amp; Formulae'!$A$11:$F$91,6,0)="Y",Scen2Bonus*AF72,0)</f>
        <v>2576.7703499999998</v>
      </c>
      <c r="AQ72" s="55">
        <f>IF(VLOOKUP(A72,'Data &amp; Formulae'!$A$11:$F$91,6,0)="Y",ClaimFundProp*AF72+AP72,0)</f>
        <v>12393.038349999999</v>
      </c>
      <c r="AR72" s="55">
        <f t="shared" si="27"/>
        <v>12393.038349999999</v>
      </c>
      <c r="AS72" s="55">
        <f t="shared" si="34"/>
        <v>-122.70334999999977</v>
      </c>
      <c r="AT72" s="60"/>
      <c r="AU72" s="71">
        <f>IF(VLOOKUP(A72,'Data &amp; Formulae'!$A$11:$F$91,6,0)="Y",SurrPay*AF72,0)</f>
        <v>306.758375</v>
      </c>
      <c r="AV72" s="73"/>
      <c r="AX72" s="4" t="b">
        <f t="shared" si="28"/>
        <v>1</v>
      </c>
      <c r="AY72" s="89" t="e">
        <f>(S72/(R72+H72)-1)-VLOOKUP(AY$3,'Returns &amp; Bonus'!$A$5:$B$15,2,0)</f>
        <v>#DIV/0!</v>
      </c>
      <c r="AZ72" s="89" t="e">
        <f>(T72/(S72+I72)-1)-VLOOKUP(AZ$3,'Returns &amp; Bonus'!$A$5:$B$15,2,0)</f>
        <v>#DIV/0!</v>
      </c>
      <c r="BA72" s="89" t="e">
        <f>(U72/(T72+J72)-1)-VLOOKUP(BA$3,'Returns &amp; Bonus'!$A$5:$B$15,2,0)</f>
        <v>#DIV/0!</v>
      </c>
      <c r="BB72" s="89" t="e">
        <f>(V72/(U72+K72)-1)-VLOOKUP(BB$3,'Returns &amp; Bonus'!$A$5:$B$15,2,0)</f>
        <v>#DIV/0!</v>
      </c>
      <c r="BC72" s="89">
        <f>(W72/(V72+L72)-1)-VLOOKUP(BC$3,'Returns &amp; Bonus'!$A$5:$B$15,2,0)</f>
        <v>0</v>
      </c>
      <c r="BD72" s="89">
        <f>(X72/(W72+M72)-1)-VLOOKUP(BD$3,'Returns &amp; Bonus'!$A$5:$B$15,2,0)</f>
        <v>0</v>
      </c>
      <c r="BE72" s="89">
        <f>(Y72/(X72+N72)-1)-VLOOKUP(BE$3,'Returns &amp; Bonus'!$A$5:$B$15,2,0)</f>
        <v>0</v>
      </c>
      <c r="BF72" s="89">
        <f>(Z72/(Y72+O72)-1)-VLOOKUP(BF$3,'Returns &amp; Bonus'!$A$5:$B$15,2,0)</f>
        <v>0</v>
      </c>
      <c r="BG72" s="89">
        <f>(AA72/(Z72+P72)-1)-VLOOKUP(BG$3,'Returns &amp; Bonus'!$A$5:$B$15,2,0)</f>
        <v>0</v>
      </c>
      <c r="BH72" s="89">
        <f>(AB72/(AA72+Q72)-1)-VLOOKUP(BH$3,'Returns &amp; Bonus'!$A$5:$B$15,2,0)</f>
        <v>-1.2836953722228372E-16</v>
      </c>
    </row>
    <row r="73" spans="1:60" x14ac:dyDescent="0.25">
      <c r="A73" s="77">
        <f>'Amended Data'!A73</f>
        <v>70</v>
      </c>
      <c r="B73" s="75">
        <f>'Amended Data'!K73</f>
        <v>42005</v>
      </c>
      <c r="C73" s="55">
        <f>'Amended Data'!J73</f>
        <v>6181</v>
      </c>
      <c r="D73" s="56">
        <f>'Amended Data'!L73</f>
        <v>25</v>
      </c>
      <c r="E73" s="57">
        <f>'Amended Data'!M73</f>
        <v>3881.7799999999993</v>
      </c>
      <c r="F73" s="57" t="str">
        <f>'Data &amp; Formulae'!H81</f>
        <v>Y</v>
      </c>
      <c r="G73" s="57">
        <f t="shared" si="29"/>
        <v>0</v>
      </c>
      <c r="H73" s="57">
        <f t="shared" si="29"/>
        <v>0</v>
      </c>
      <c r="I73" s="57">
        <f t="shared" si="29"/>
        <v>0</v>
      </c>
      <c r="J73" s="57">
        <f t="shared" si="29"/>
        <v>0</v>
      </c>
      <c r="K73" s="57">
        <f t="shared" si="29"/>
        <v>0</v>
      </c>
      <c r="L73" s="57">
        <f t="shared" si="29"/>
        <v>6181</v>
      </c>
      <c r="M73" s="57">
        <f t="shared" si="29"/>
        <v>6181</v>
      </c>
      <c r="N73" s="57">
        <f t="shared" si="29"/>
        <v>6181</v>
      </c>
      <c r="O73" s="57">
        <f t="shared" si="29"/>
        <v>6181</v>
      </c>
      <c r="P73" s="57">
        <f t="shared" si="29"/>
        <v>6181</v>
      </c>
      <c r="Q73" s="57">
        <f t="shared" si="29"/>
        <v>6181</v>
      </c>
      <c r="R73" s="57">
        <f>IF(R$3=2010,G73*(1+VLOOKUP(R$3,'Returns &amp; Bonus'!$A$5:$B$15,2,0)),(G73+Q73)*(1+VLOOKUP(R$3,'Returns &amp; Bonus'!$A$5:$B$15,2,0)))</f>
        <v>0</v>
      </c>
      <c r="S73" s="57">
        <f>IF(S$3=2010,H73*(1+VLOOKUP(S$3,'Returns &amp; Bonus'!$A$5:$B$15,2,0)),(H73+R73)*(1+VLOOKUP(S$3,'Returns &amp; Bonus'!$A$5:$B$15,2,0)))</f>
        <v>0</v>
      </c>
      <c r="T73" s="57">
        <f>IF(T$3=2010,I73*(1+VLOOKUP(T$3,'Returns &amp; Bonus'!$A$5:$B$15,2,0)),(I73+S73)*(1+VLOOKUP(T$3,'Returns &amp; Bonus'!$A$5:$B$15,2,0)))</f>
        <v>0</v>
      </c>
      <c r="U73" s="57">
        <f>IF(U$3=2010,J73*(1+VLOOKUP(U$3,'Returns &amp; Bonus'!$A$5:$B$15,2,0)),(J73+T73)*(1+VLOOKUP(U$3,'Returns &amp; Bonus'!$A$5:$B$15,2,0)))</f>
        <v>0</v>
      </c>
      <c r="V73" s="57">
        <f>IF(V$3=2010,K73*(1+VLOOKUP(V$3,'Returns &amp; Bonus'!$A$5:$B$15,2,0)),(K73+U73)*(1+VLOOKUP(V$3,'Returns &amp; Bonus'!$A$5:$B$15,2,0)))</f>
        <v>0</v>
      </c>
      <c r="W73" s="57">
        <f>IF(W$3=2010,L73*(1+VLOOKUP(W$3,'Returns &amp; Bonus'!$A$5:$B$15,2,0)),(L73+V73)*(1+VLOOKUP(W$3,'Returns &amp; Bonus'!$A$5:$B$15,2,0)))</f>
        <v>7973.49</v>
      </c>
      <c r="X73" s="57">
        <f>IF(X$3=2010,M73*(1+VLOOKUP(X$3,'Returns &amp; Bonus'!$A$5:$B$15,2,0)),(M73+W73)*(1+VLOOKUP(X$3,'Returns &amp; Bonus'!$A$5:$B$15,2,0)))</f>
        <v>13871.4002</v>
      </c>
      <c r="Y73" s="57">
        <f>IF(Y$3=2010,N73*(1+VLOOKUP(Y$3,'Returns &amp; Bonus'!$A$5:$B$15,2,0)),(N73+X73)*(1+VLOOKUP(Y$3,'Returns &amp; Bonus'!$A$5:$B$15,2,0)))</f>
        <v>19049.780189999998</v>
      </c>
      <c r="Z73" s="57">
        <f>IF(Z$3=2010,O73*(1+VLOOKUP(Z$3,'Returns &amp; Bonus'!$A$5:$B$15,2,0)),(O73+Y73)*(1+VLOOKUP(Z$3,'Returns &amp; Bonus'!$A$5:$B$15,2,0)))</f>
        <v>28510.781614699994</v>
      </c>
      <c r="AA73" s="57">
        <f>IF(AA$3=2010,P73*(1+VLOOKUP(AA$3,'Returns &amp; Bonus'!$A$5:$B$15,2,0)),(P73+Z73)*(1+VLOOKUP(AA$3,'Returns &amp; Bonus'!$A$5:$B$15,2,0)))</f>
        <v>38507.877592317003</v>
      </c>
      <c r="AB73" s="81">
        <f>IF(AB$3=2010,Q73*(1+VLOOKUP(AB$3,'Returns &amp; Bonus'!$A$5:$B$15,2,0)),(Q73+AA73)*(1+VLOOKUP(AB$3,'Returns &amp; Bonus'!$A$5:$B$15,2,0)))</f>
        <v>43795.100040470665</v>
      </c>
      <c r="AC73" s="85"/>
      <c r="AD73" s="58">
        <f t="shared" si="23"/>
        <v>39913.320040470666</v>
      </c>
      <c r="AE73" s="58">
        <f t="shared" si="24"/>
        <v>0</v>
      </c>
      <c r="AF73" s="58">
        <f t="shared" si="30"/>
        <v>3881.7799999999993</v>
      </c>
      <c r="AG73" s="58">
        <f t="shared" si="31"/>
        <v>39913.320040470666</v>
      </c>
      <c r="AH73" s="55">
        <f>IF(VLOOKUP(A73,'Data &amp; Formulae'!$A$11:$F$91,6,0)="Y",BonusFundProp*AF73*VLOOKUP(YEAR(B73),'Returns &amp; Bonus'!$G$4:$I$15,3,0),0)</f>
        <v>0</v>
      </c>
      <c r="AI73" s="55">
        <f>IF(VLOOKUP(A73,'Data &amp; Formulae'!$A$11:$F$91,6,0)="Y",ClaimFundProp*AF73+AH73,0)</f>
        <v>0</v>
      </c>
      <c r="AJ73" s="55">
        <f t="shared" si="25"/>
        <v>0</v>
      </c>
      <c r="AK73" s="55">
        <f t="shared" si="32"/>
        <v>0</v>
      </c>
      <c r="AL73" s="60"/>
      <c r="AM73" s="71">
        <f t="shared" si="26"/>
        <v>0</v>
      </c>
      <c r="AN73" s="55">
        <f t="shared" si="33"/>
        <v>0</v>
      </c>
      <c r="AO73" s="60"/>
      <c r="AP73" s="71">
        <f>IF(VLOOKUP(A73,'Data &amp; Formulae'!$A$11:$F$91,6,0)="Y",Scen2Bonus*AF73,0)</f>
        <v>0</v>
      </c>
      <c r="AQ73" s="55">
        <f>IF(VLOOKUP(A73,'Data &amp; Formulae'!$A$11:$F$91,6,0)="Y",ClaimFundProp*AF73+AP73,0)</f>
        <v>0</v>
      </c>
      <c r="AR73" s="55">
        <f t="shared" si="27"/>
        <v>0</v>
      </c>
      <c r="AS73" s="55">
        <f t="shared" si="34"/>
        <v>0</v>
      </c>
      <c r="AT73" s="60"/>
      <c r="AU73" s="71">
        <f>IF(VLOOKUP(A73,'Data &amp; Formulae'!$A$11:$F$91,6,0)="Y",SurrPay*AF73,0)</f>
        <v>0</v>
      </c>
      <c r="AV73" s="73"/>
      <c r="AX73" s="4" t="b">
        <f t="shared" si="28"/>
        <v>1</v>
      </c>
      <c r="AY73" s="89" t="e">
        <f>(S73/(R73+H73)-1)-VLOOKUP(AY$3,'Returns &amp; Bonus'!$A$5:$B$15,2,0)</f>
        <v>#DIV/0!</v>
      </c>
      <c r="AZ73" s="89" t="e">
        <f>(T73/(S73+I73)-1)-VLOOKUP(AZ$3,'Returns &amp; Bonus'!$A$5:$B$15,2,0)</f>
        <v>#DIV/0!</v>
      </c>
      <c r="BA73" s="89" t="e">
        <f>(U73/(T73+J73)-1)-VLOOKUP(BA$3,'Returns &amp; Bonus'!$A$5:$B$15,2,0)</f>
        <v>#DIV/0!</v>
      </c>
      <c r="BB73" s="89" t="e">
        <f>(V73/(U73+K73)-1)-VLOOKUP(BB$3,'Returns &amp; Bonus'!$A$5:$B$15,2,0)</f>
        <v>#DIV/0!</v>
      </c>
      <c r="BC73" s="89">
        <f>(W73/(V73+L73)-1)-VLOOKUP(BC$3,'Returns &amp; Bonus'!$A$5:$B$15,2,0)</f>
        <v>0</v>
      </c>
      <c r="BD73" s="89">
        <f>(X73/(W73+M73)-1)-VLOOKUP(BD$3,'Returns &amp; Bonus'!$A$5:$B$15,2,0)</f>
        <v>0</v>
      </c>
      <c r="BE73" s="89">
        <f>(Y73/(X73+N73)-1)-VLOOKUP(BE$3,'Returns &amp; Bonus'!$A$5:$B$15,2,0)</f>
        <v>-1.5265566588595902E-16</v>
      </c>
      <c r="BF73" s="89">
        <f>(Z73/(Y73+O73)-1)-VLOOKUP(BF$3,'Returns &amp; Bonus'!$A$5:$B$15,2,0)</f>
        <v>0</v>
      </c>
      <c r="BG73" s="89">
        <f>(AA73/(Z73+P73)-1)-VLOOKUP(BG$3,'Returns &amp; Bonus'!$A$5:$B$15,2,0)</f>
        <v>0</v>
      </c>
      <c r="BH73" s="89">
        <f>(AB73/(AA73+Q73)-1)-VLOOKUP(BH$3,'Returns &amp; Bonus'!$A$5:$B$15,2,0)</f>
        <v>0</v>
      </c>
    </row>
    <row r="74" spans="1:60" x14ac:dyDescent="0.25">
      <c r="A74" s="77">
        <f>'Amended Data'!A74</f>
        <v>71</v>
      </c>
      <c r="B74" s="75">
        <f>'Amended Data'!K74</f>
        <v>42005</v>
      </c>
      <c r="C74" s="55">
        <f>'Amended Data'!J74</f>
        <v>6994</v>
      </c>
      <c r="D74" s="56">
        <f>'Amended Data'!L74</f>
        <v>9</v>
      </c>
      <c r="E74" s="57">
        <f>'Amended Data'!M74</f>
        <v>7195.7724999999991</v>
      </c>
      <c r="F74" s="57" t="str">
        <f>'Data &amp; Formulae'!H82</f>
        <v>Y</v>
      </c>
      <c r="G74" s="57">
        <f t="shared" si="29"/>
        <v>0</v>
      </c>
      <c r="H74" s="57">
        <f t="shared" si="29"/>
        <v>0</v>
      </c>
      <c r="I74" s="57">
        <f t="shared" si="29"/>
        <v>0</v>
      </c>
      <c r="J74" s="57">
        <f t="shared" si="29"/>
        <v>0</v>
      </c>
      <c r="K74" s="57">
        <f t="shared" si="29"/>
        <v>0</v>
      </c>
      <c r="L74" s="57">
        <f t="shared" si="29"/>
        <v>6994</v>
      </c>
      <c r="M74" s="57">
        <f t="shared" si="29"/>
        <v>6994</v>
      </c>
      <c r="N74" s="57">
        <f t="shared" si="29"/>
        <v>6994</v>
      </c>
      <c r="O74" s="57">
        <f t="shared" si="29"/>
        <v>6994</v>
      </c>
      <c r="P74" s="57">
        <f t="shared" si="29"/>
        <v>6994</v>
      </c>
      <c r="Q74" s="57">
        <f t="shared" si="29"/>
        <v>6994</v>
      </c>
      <c r="R74" s="57">
        <f>IF(R$3=2010,G74*(1+VLOOKUP(R$3,'Returns &amp; Bonus'!$A$5:$B$15,2,0)),(G74+Q74)*(1+VLOOKUP(R$3,'Returns &amp; Bonus'!$A$5:$B$15,2,0)))</f>
        <v>0</v>
      </c>
      <c r="S74" s="57">
        <f>IF(S$3=2010,H74*(1+VLOOKUP(S$3,'Returns &amp; Bonus'!$A$5:$B$15,2,0)),(H74+R74)*(1+VLOOKUP(S$3,'Returns &amp; Bonus'!$A$5:$B$15,2,0)))</f>
        <v>0</v>
      </c>
      <c r="T74" s="57">
        <f>IF(T$3=2010,I74*(1+VLOOKUP(T$3,'Returns &amp; Bonus'!$A$5:$B$15,2,0)),(I74+S74)*(1+VLOOKUP(T$3,'Returns &amp; Bonus'!$A$5:$B$15,2,0)))</f>
        <v>0</v>
      </c>
      <c r="U74" s="57">
        <f>IF(U$3=2010,J74*(1+VLOOKUP(U$3,'Returns &amp; Bonus'!$A$5:$B$15,2,0)),(J74+T74)*(1+VLOOKUP(U$3,'Returns &amp; Bonus'!$A$5:$B$15,2,0)))</f>
        <v>0</v>
      </c>
      <c r="V74" s="57">
        <f>IF(V$3=2010,K74*(1+VLOOKUP(V$3,'Returns &amp; Bonus'!$A$5:$B$15,2,0)),(K74+U74)*(1+VLOOKUP(V$3,'Returns &amp; Bonus'!$A$5:$B$15,2,0)))</f>
        <v>0</v>
      </c>
      <c r="W74" s="57">
        <f>IF(W$3=2010,L74*(1+VLOOKUP(W$3,'Returns &amp; Bonus'!$A$5:$B$15,2,0)),(L74+V74)*(1+VLOOKUP(W$3,'Returns &amp; Bonus'!$A$5:$B$15,2,0)))</f>
        <v>9022.26</v>
      </c>
      <c r="X74" s="57">
        <f>IF(X$3=2010,M74*(1+VLOOKUP(X$3,'Returns &amp; Bonus'!$A$5:$B$15,2,0)),(M74+W74)*(1+VLOOKUP(X$3,'Returns &amp; Bonus'!$A$5:$B$15,2,0)))</f>
        <v>15695.934799999999</v>
      </c>
      <c r="Y74" s="57">
        <f>IF(Y$3=2010,N74*(1+VLOOKUP(Y$3,'Returns &amp; Bonus'!$A$5:$B$15,2,0)),(N74+X74)*(1+VLOOKUP(Y$3,'Returns &amp; Bonus'!$A$5:$B$15,2,0)))</f>
        <v>21555.438059999997</v>
      </c>
      <c r="Z74" s="57">
        <f>IF(Z$3=2010,O74*(1+VLOOKUP(Z$3,'Returns &amp; Bonus'!$A$5:$B$15,2,0)),(O74+Y74)*(1+VLOOKUP(Z$3,'Returns &amp; Bonus'!$A$5:$B$15,2,0)))</f>
        <v>32260.865007799992</v>
      </c>
      <c r="AA74" s="57">
        <f>IF(AA$3=2010,P74*(1+VLOOKUP(AA$3,'Returns &amp; Bonus'!$A$5:$B$15,2,0)),(P74+Z74)*(1+VLOOKUP(AA$3,'Returns &amp; Bonus'!$A$5:$B$15,2,0)))</f>
        <v>43572.900158657998</v>
      </c>
      <c r="AB74" s="81">
        <f>IF(AB$3=2010,Q74*(1+VLOOKUP(AB$3,'Returns &amp; Bonus'!$A$5:$B$15,2,0)),(Q74+AA74)*(1+VLOOKUP(AB$3,'Returns &amp; Bonus'!$A$5:$B$15,2,0)))</f>
        <v>49555.56215548484</v>
      </c>
      <c r="AC74" s="85"/>
      <c r="AD74" s="58">
        <f t="shared" si="23"/>
        <v>42359.789655484841</v>
      </c>
      <c r="AE74" s="58">
        <f t="shared" si="24"/>
        <v>0</v>
      </c>
      <c r="AF74" s="58">
        <f t="shared" si="30"/>
        <v>7195.7724999999991</v>
      </c>
      <c r="AG74" s="58">
        <f t="shared" si="31"/>
        <v>42359.789655484841</v>
      </c>
      <c r="AH74" s="55">
        <f>IF(VLOOKUP(A74,'Data &amp; Formulae'!$A$11:$F$91,6,0)="Y",BonusFundProp*AF74*VLOOKUP(YEAR(B74),'Returns &amp; Bonus'!$G$4:$I$15,3,0),0)</f>
        <v>1583.0699500000001</v>
      </c>
      <c r="AI74" s="55">
        <f>IF(VLOOKUP(A74,'Data &amp; Formulae'!$A$11:$F$91,6,0)="Y",ClaimFundProp*AF74+AH74,0)</f>
        <v>7339.6879499999995</v>
      </c>
      <c r="AJ74" s="55">
        <f t="shared" si="25"/>
        <v>7339.6879499999995</v>
      </c>
      <c r="AK74" s="55">
        <f t="shared" si="32"/>
        <v>-143.91545000000042</v>
      </c>
      <c r="AL74" s="60"/>
      <c r="AM74" s="71">
        <f t="shared" si="26"/>
        <v>7339.6879499999995</v>
      </c>
      <c r="AN74" s="55">
        <f t="shared" si="33"/>
        <v>-143.91545000000042</v>
      </c>
      <c r="AO74" s="60"/>
      <c r="AP74" s="71">
        <f>IF(VLOOKUP(A74,'Data &amp; Formulae'!$A$11:$F$91,6,0)="Y",Scen2Bonus*AF74,0)</f>
        <v>1511.1122249999999</v>
      </c>
      <c r="AQ74" s="55">
        <f>IF(VLOOKUP(A74,'Data &amp; Formulae'!$A$11:$F$91,6,0)="Y",ClaimFundProp*AF74+AP74,0)</f>
        <v>7267.7302249999993</v>
      </c>
      <c r="AR74" s="55">
        <f t="shared" si="27"/>
        <v>7267.7302249999993</v>
      </c>
      <c r="AS74" s="55">
        <f t="shared" si="34"/>
        <v>-71.95772500000021</v>
      </c>
      <c r="AT74" s="60"/>
      <c r="AU74" s="71">
        <f>IF(VLOOKUP(A74,'Data &amp; Formulae'!$A$11:$F$91,6,0)="Y",SurrPay*AF74,0)</f>
        <v>179.89431249999998</v>
      </c>
      <c r="AV74" s="73"/>
      <c r="AX74" s="4" t="b">
        <f t="shared" si="28"/>
        <v>1</v>
      </c>
      <c r="AY74" s="89" t="e">
        <f>(S74/(R74+H74)-1)-VLOOKUP(AY$3,'Returns &amp; Bonus'!$A$5:$B$15,2,0)</f>
        <v>#DIV/0!</v>
      </c>
      <c r="AZ74" s="89" t="e">
        <f>(T74/(S74+I74)-1)-VLOOKUP(AZ$3,'Returns &amp; Bonus'!$A$5:$B$15,2,0)</f>
        <v>#DIV/0!</v>
      </c>
      <c r="BA74" s="89" t="e">
        <f>(U74/(T74+J74)-1)-VLOOKUP(BA$3,'Returns &amp; Bonus'!$A$5:$B$15,2,0)</f>
        <v>#DIV/0!</v>
      </c>
      <c r="BB74" s="89" t="e">
        <f>(V74/(U74+K74)-1)-VLOOKUP(BB$3,'Returns &amp; Bonus'!$A$5:$B$15,2,0)</f>
        <v>#DIV/0!</v>
      </c>
      <c r="BC74" s="89">
        <f>(W74/(V74+L74)-1)-VLOOKUP(BC$3,'Returns &amp; Bonus'!$A$5:$B$15,2,0)</f>
        <v>0</v>
      </c>
      <c r="BD74" s="89">
        <f>(X74/(W74+M74)-1)-VLOOKUP(BD$3,'Returns &amp; Bonus'!$A$5:$B$15,2,0)</f>
        <v>0</v>
      </c>
      <c r="BE74" s="89">
        <f>(Y74/(X74+N74)-1)-VLOOKUP(BE$3,'Returns &amp; Bonus'!$A$5:$B$15,2,0)</f>
        <v>-1.5265566588595902E-16</v>
      </c>
      <c r="BF74" s="89">
        <f>(Z74/(Y74+O74)-1)-VLOOKUP(BF$3,'Returns &amp; Bonus'!$A$5:$B$15,2,0)</f>
        <v>0</v>
      </c>
      <c r="BG74" s="89">
        <f>(AA74/(Z74+P74)-1)-VLOOKUP(BG$3,'Returns &amp; Bonus'!$A$5:$B$15,2,0)</f>
        <v>0</v>
      </c>
      <c r="BH74" s="89">
        <f>(AB74/(AA74+Q74)-1)-VLOOKUP(BH$3,'Returns &amp; Bonus'!$A$5:$B$15,2,0)</f>
        <v>9.3675067702747583E-17</v>
      </c>
    </row>
    <row r="75" spans="1:60" x14ac:dyDescent="0.25">
      <c r="A75" s="77">
        <f>'Amended Data'!A75</f>
        <v>72</v>
      </c>
      <c r="B75" s="75">
        <f>'Amended Data'!K75</f>
        <v>43101</v>
      </c>
      <c r="C75" s="55">
        <f>'Amended Data'!J75</f>
        <v>3505</v>
      </c>
      <c r="D75" s="56">
        <f>'Amended Data'!L75</f>
        <v>7</v>
      </c>
      <c r="E75" s="57">
        <f>'Amended Data'!M75</f>
        <v>11556.034070000002</v>
      </c>
      <c r="F75" s="57" t="str">
        <f>'Data &amp; Formulae'!H83</f>
        <v>N</v>
      </c>
      <c r="G75" s="57">
        <f t="shared" si="29"/>
        <v>0</v>
      </c>
      <c r="H75" s="57">
        <f t="shared" si="29"/>
        <v>0</v>
      </c>
      <c r="I75" s="57">
        <f t="shared" si="29"/>
        <v>0</v>
      </c>
      <c r="J75" s="57">
        <f t="shared" si="29"/>
        <v>0</v>
      </c>
      <c r="K75" s="57">
        <f t="shared" si="29"/>
        <v>0</v>
      </c>
      <c r="L75" s="57">
        <f t="shared" si="29"/>
        <v>0</v>
      </c>
      <c r="M75" s="57">
        <f t="shared" si="29"/>
        <v>0</v>
      </c>
      <c r="N75" s="57">
        <f t="shared" si="29"/>
        <v>0</v>
      </c>
      <c r="O75" s="57">
        <f t="shared" si="29"/>
        <v>3505</v>
      </c>
      <c r="P75" s="57">
        <f t="shared" si="29"/>
        <v>3505</v>
      </c>
      <c r="Q75" s="57">
        <f t="shared" si="29"/>
        <v>3505</v>
      </c>
      <c r="R75" s="57">
        <f>IF(R$3=2010,G75*(1+VLOOKUP(R$3,'Returns &amp; Bonus'!$A$5:$B$15,2,0)),(G75+Q75)*(1+VLOOKUP(R$3,'Returns &amp; Bonus'!$A$5:$B$15,2,0)))</f>
        <v>0</v>
      </c>
      <c r="S75" s="57">
        <f>IF(S$3=2010,H75*(1+VLOOKUP(S$3,'Returns &amp; Bonus'!$A$5:$B$15,2,0)),(H75+R75)*(1+VLOOKUP(S$3,'Returns &amp; Bonus'!$A$5:$B$15,2,0)))</f>
        <v>0</v>
      </c>
      <c r="T75" s="57">
        <f>IF(T$3=2010,I75*(1+VLOOKUP(T$3,'Returns &amp; Bonus'!$A$5:$B$15,2,0)),(I75+S75)*(1+VLOOKUP(T$3,'Returns &amp; Bonus'!$A$5:$B$15,2,0)))</f>
        <v>0</v>
      </c>
      <c r="U75" s="57">
        <f>IF(U$3=2010,J75*(1+VLOOKUP(U$3,'Returns &amp; Bonus'!$A$5:$B$15,2,0)),(J75+T75)*(1+VLOOKUP(U$3,'Returns &amp; Bonus'!$A$5:$B$15,2,0)))</f>
        <v>0</v>
      </c>
      <c r="V75" s="57">
        <f>IF(V$3=2010,K75*(1+VLOOKUP(V$3,'Returns &amp; Bonus'!$A$5:$B$15,2,0)),(K75+U75)*(1+VLOOKUP(V$3,'Returns &amp; Bonus'!$A$5:$B$15,2,0)))</f>
        <v>0</v>
      </c>
      <c r="W75" s="57">
        <f>IF(W$3=2010,L75*(1+VLOOKUP(W$3,'Returns &amp; Bonus'!$A$5:$B$15,2,0)),(L75+V75)*(1+VLOOKUP(W$3,'Returns &amp; Bonus'!$A$5:$B$15,2,0)))</f>
        <v>0</v>
      </c>
      <c r="X75" s="57">
        <f>IF(X$3=2010,M75*(1+VLOOKUP(X$3,'Returns &amp; Bonus'!$A$5:$B$15,2,0)),(M75+W75)*(1+VLOOKUP(X$3,'Returns &amp; Bonus'!$A$5:$B$15,2,0)))</f>
        <v>0</v>
      </c>
      <c r="Y75" s="57">
        <f>IF(Y$3=2010,N75*(1+VLOOKUP(Y$3,'Returns &amp; Bonus'!$A$5:$B$15,2,0)),(N75+X75)*(1+VLOOKUP(Y$3,'Returns &amp; Bonus'!$A$5:$B$15,2,0)))</f>
        <v>0</v>
      </c>
      <c r="Z75" s="57">
        <f>IF(Z$3=2010,O75*(1+VLOOKUP(Z$3,'Returns &amp; Bonus'!$A$5:$B$15,2,0)),(O75+Y75)*(1+VLOOKUP(Z$3,'Returns &amp; Bonus'!$A$5:$B$15,2,0)))</f>
        <v>3960.6499999999996</v>
      </c>
      <c r="AA75" s="57">
        <f>IF(AA$3=2010,P75*(1+VLOOKUP(AA$3,'Returns &amp; Bonus'!$A$5:$B$15,2,0)),(P75+Z75)*(1+VLOOKUP(AA$3,'Returns &amp; Bonus'!$A$5:$B$15,2,0)))</f>
        <v>8286.8715000000011</v>
      </c>
      <c r="AB75" s="81">
        <f>IF(AB$3=2010,Q75*(1+VLOOKUP(AB$3,'Returns &amp; Bonus'!$A$5:$B$15,2,0)),(Q75+AA75)*(1+VLOOKUP(AB$3,'Returns &amp; Bonus'!$A$5:$B$15,2,0)))</f>
        <v>11556.034070000002</v>
      </c>
      <c r="AC75" s="85"/>
      <c r="AD75" s="58">
        <f t="shared" si="23"/>
        <v>0</v>
      </c>
      <c r="AE75" s="58">
        <f t="shared" si="24"/>
        <v>0</v>
      </c>
      <c r="AF75" s="58">
        <f t="shared" si="30"/>
        <v>11556.034070000002</v>
      </c>
      <c r="AG75" s="58">
        <f t="shared" si="31"/>
        <v>0</v>
      </c>
      <c r="AH75" s="55">
        <f>IF(VLOOKUP(A75,'Data &amp; Formulae'!$A$11:$F$91,6,0)="Y",BonusFundProp*AF75*VLOOKUP(YEAR(B75),'Returns &amp; Bonus'!$G$4:$I$15,3,0),0)</f>
        <v>2542.3274954000008</v>
      </c>
      <c r="AI75" s="55">
        <f>IF(VLOOKUP(A75,'Data &amp; Formulae'!$A$11:$F$91,6,0)="Y",ClaimFundProp*AF75+AH75,0)</f>
        <v>11787.154751400003</v>
      </c>
      <c r="AJ75" s="55">
        <f t="shared" si="25"/>
        <v>11787.154751400003</v>
      </c>
      <c r="AK75" s="55">
        <f t="shared" si="32"/>
        <v>-231.12068140000156</v>
      </c>
      <c r="AL75" s="60"/>
      <c r="AM75" s="71">
        <f t="shared" si="26"/>
        <v>11787.154751400003</v>
      </c>
      <c r="AN75" s="55">
        <f t="shared" si="33"/>
        <v>-231.12068140000156</v>
      </c>
      <c r="AO75" s="60"/>
      <c r="AP75" s="71">
        <f>IF(VLOOKUP(A75,'Data &amp; Formulae'!$A$11:$F$91,6,0)="Y",Scen2Bonus*AF75,0)</f>
        <v>2426.7671547000004</v>
      </c>
      <c r="AQ75" s="55">
        <f>IF(VLOOKUP(A75,'Data &amp; Formulae'!$A$11:$F$91,6,0)="Y",ClaimFundProp*AF75+AP75,0)</f>
        <v>11671.594410700003</v>
      </c>
      <c r="AR75" s="55">
        <f t="shared" si="27"/>
        <v>11671.594410700003</v>
      </c>
      <c r="AS75" s="55">
        <f t="shared" si="34"/>
        <v>-115.56034070000169</v>
      </c>
      <c r="AT75" s="60"/>
      <c r="AU75" s="71">
        <f>IF(VLOOKUP(A75,'Data &amp; Formulae'!$A$11:$F$91,6,0)="Y",SurrPay*AF75,0)</f>
        <v>288.90085175000007</v>
      </c>
      <c r="AV75" s="73"/>
      <c r="AX75" s="4" t="b">
        <f t="shared" si="28"/>
        <v>1</v>
      </c>
      <c r="AY75" s="89" t="e">
        <f>(S75/(R75+H75)-1)-VLOOKUP(AY$3,'Returns &amp; Bonus'!$A$5:$B$15,2,0)</f>
        <v>#DIV/0!</v>
      </c>
      <c r="AZ75" s="89" t="e">
        <f>(T75/(S75+I75)-1)-VLOOKUP(AZ$3,'Returns &amp; Bonus'!$A$5:$B$15,2,0)</f>
        <v>#DIV/0!</v>
      </c>
      <c r="BA75" s="89" t="e">
        <f>(U75/(T75+J75)-1)-VLOOKUP(BA$3,'Returns &amp; Bonus'!$A$5:$B$15,2,0)</f>
        <v>#DIV/0!</v>
      </c>
      <c r="BB75" s="89" t="e">
        <f>(V75/(U75+K75)-1)-VLOOKUP(BB$3,'Returns &amp; Bonus'!$A$5:$B$15,2,0)</f>
        <v>#DIV/0!</v>
      </c>
      <c r="BC75" s="89" t="e">
        <f>(W75/(V75+L75)-1)-VLOOKUP(BC$3,'Returns &amp; Bonus'!$A$5:$B$15,2,0)</f>
        <v>#DIV/0!</v>
      </c>
      <c r="BD75" s="89" t="e">
        <f>(X75/(W75+M75)-1)-VLOOKUP(BD$3,'Returns &amp; Bonus'!$A$5:$B$15,2,0)</f>
        <v>#DIV/0!</v>
      </c>
      <c r="BE75" s="89" t="e">
        <f>(Y75/(X75+N75)-1)-VLOOKUP(BE$3,'Returns &amp; Bonus'!$A$5:$B$15,2,0)</f>
        <v>#DIV/0!</v>
      </c>
      <c r="BF75" s="89">
        <f>(Z75/(Y75+O75)-1)-VLOOKUP(BF$3,'Returns &amp; Bonus'!$A$5:$B$15,2,0)</f>
        <v>0</v>
      </c>
      <c r="BG75" s="89">
        <f>(AA75/(Z75+P75)-1)-VLOOKUP(BG$3,'Returns &amp; Bonus'!$A$5:$B$15,2,0)</f>
        <v>0</v>
      </c>
      <c r="BH75" s="89">
        <f>(AB75/(AA75+Q75)-1)-VLOOKUP(BH$3,'Returns &amp; Bonus'!$A$5:$B$15,2,0)</f>
        <v>0</v>
      </c>
    </row>
    <row r="76" spans="1:60" x14ac:dyDescent="0.25">
      <c r="A76" s="77">
        <f>'Amended Data'!A76</f>
        <v>73</v>
      </c>
      <c r="B76" s="75">
        <f>'Amended Data'!K76</f>
        <v>43101</v>
      </c>
      <c r="C76" s="55">
        <f>'Amended Data'!J76</f>
        <v>7833</v>
      </c>
      <c r="D76" s="56">
        <f>'Amended Data'!L76</f>
        <v>21</v>
      </c>
      <c r="E76" s="57">
        <f>'Amended Data'!M76</f>
        <v>2245.5474999999997</v>
      </c>
      <c r="F76" s="57" t="str">
        <f>'Data &amp; Formulae'!H84</f>
        <v>Y</v>
      </c>
      <c r="G76" s="57">
        <f t="shared" si="29"/>
        <v>0</v>
      </c>
      <c r="H76" s="57">
        <f t="shared" si="29"/>
        <v>0</v>
      </c>
      <c r="I76" s="57">
        <f t="shared" si="29"/>
        <v>0</v>
      </c>
      <c r="J76" s="57">
        <f t="shared" si="29"/>
        <v>0</v>
      </c>
      <c r="K76" s="57">
        <f t="shared" si="29"/>
        <v>0</v>
      </c>
      <c r="L76" s="57">
        <f t="shared" si="29"/>
        <v>0</v>
      </c>
      <c r="M76" s="57">
        <f t="shared" si="29"/>
        <v>0</v>
      </c>
      <c r="N76" s="57">
        <f t="shared" si="29"/>
        <v>0</v>
      </c>
      <c r="O76" s="57">
        <f t="shared" si="29"/>
        <v>7833</v>
      </c>
      <c r="P76" s="57">
        <f t="shared" si="29"/>
        <v>7833</v>
      </c>
      <c r="Q76" s="57">
        <f t="shared" si="29"/>
        <v>7833</v>
      </c>
      <c r="R76" s="57">
        <f>IF(R$3=2010,G76*(1+VLOOKUP(R$3,'Returns &amp; Bonus'!$A$5:$B$15,2,0)),(G76+Q76)*(1+VLOOKUP(R$3,'Returns &amp; Bonus'!$A$5:$B$15,2,0)))</f>
        <v>0</v>
      </c>
      <c r="S76" s="57">
        <f>IF(S$3=2010,H76*(1+VLOOKUP(S$3,'Returns &amp; Bonus'!$A$5:$B$15,2,0)),(H76+R76)*(1+VLOOKUP(S$3,'Returns &amp; Bonus'!$A$5:$B$15,2,0)))</f>
        <v>0</v>
      </c>
      <c r="T76" s="57">
        <f>IF(T$3=2010,I76*(1+VLOOKUP(T$3,'Returns &amp; Bonus'!$A$5:$B$15,2,0)),(I76+S76)*(1+VLOOKUP(T$3,'Returns &amp; Bonus'!$A$5:$B$15,2,0)))</f>
        <v>0</v>
      </c>
      <c r="U76" s="57">
        <f>IF(U$3=2010,J76*(1+VLOOKUP(U$3,'Returns &amp; Bonus'!$A$5:$B$15,2,0)),(J76+T76)*(1+VLOOKUP(U$3,'Returns &amp; Bonus'!$A$5:$B$15,2,0)))</f>
        <v>0</v>
      </c>
      <c r="V76" s="57">
        <f>IF(V$3=2010,K76*(1+VLOOKUP(V$3,'Returns &amp; Bonus'!$A$5:$B$15,2,0)),(K76+U76)*(1+VLOOKUP(V$3,'Returns &amp; Bonus'!$A$5:$B$15,2,0)))</f>
        <v>0</v>
      </c>
      <c r="W76" s="57">
        <f>IF(W$3=2010,L76*(1+VLOOKUP(W$3,'Returns &amp; Bonus'!$A$5:$B$15,2,0)),(L76+V76)*(1+VLOOKUP(W$3,'Returns &amp; Bonus'!$A$5:$B$15,2,0)))</f>
        <v>0</v>
      </c>
      <c r="X76" s="57">
        <f>IF(X$3=2010,M76*(1+VLOOKUP(X$3,'Returns &amp; Bonus'!$A$5:$B$15,2,0)),(M76+W76)*(1+VLOOKUP(X$3,'Returns &amp; Bonus'!$A$5:$B$15,2,0)))</f>
        <v>0</v>
      </c>
      <c r="Y76" s="57">
        <f>IF(Y$3=2010,N76*(1+VLOOKUP(Y$3,'Returns &amp; Bonus'!$A$5:$B$15,2,0)),(N76+X76)*(1+VLOOKUP(Y$3,'Returns &amp; Bonus'!$A$5:$B$15,2,0)))</f>
        <v>0</v>
      </c>
      <c r="Z76" s="57">
        <f>IF(Z$3=2010,O76*(1+VLOOKUP(Z$3,'Returns &amp; Bonus'!$A$5:$B$15,2,0)),(O76+Y76)*(1+VLOOKUP(Z$3,'Returns &amp; Bonus'!$A$5:$B$15,2,0)))</f>
        <v>8851.2899999999991</v>
      </c>
      <c r="AA76" s="57">
        <f>IF(AA$3=2010,P76*(1+VLOOKUP(AA$3,'Returns &amp; Bonus'!$A$5:$B$15,2,0)),(P76+Z76)*(1+VLOOKUP(AA$3,'Returns &amp; Bonus'!$A$5:$B$15,2,0)))</f>
        <v>18519.561900000004</v>
      </c>
      <c r="AB76" s="81">
        <f>IF(AB$3=2010,Q76*(1+VLOOKUP(AB$3,'Returns &amp; Bonus'!$A$5:$B$15,2,0)),(Q76+AA76)*(1+VLOOKUP(AB$3,'Returns &amp; Bonus'!$A$5:$B$15,2,0)))</f>
        <v>25825.510662000004</v>
      </c>
      <c r="AC76" s="85"/>
      <c r="AD76" s="58">
        <f t="shared" si="23"/>
        <v>23579.963162000004</v>
      </c>
      <c r="AE76" s="58">
        <f t="shared" si="24"/>
        <v>0</v>
      </c>
      <c r="AF76" s="58">
        <f t="shared" si="30"/>
        <v>2245.5474999999997</v>
      </c>
      <c r="AG76" s="58">
        <f t="shared" si="31"/>
        <v>23579.963162000004</v>
      </c>
      <c r="AH76" s="55">
        <f>IF(VLOOKUP(A76,'Data &amp; Formulae'!$A$11:$F$91,6,0)="Y",BonusFundProp*AF76*VLOOKUP(YEAR(B76),'Returns &amp; Bonus'!$G$4:$I$15,3,0),0)</f>
        <v>494.02044999999998</v>
      </c>
      <c r="AI76" s="55">
        <f>IF(VLOOKUP(A76,'Data &amp; Formulae'!$A$11:$F$91,6,0)="Y",ClaimFundProp*AF76+AH76,0)</f>
        <v>2290.4584500000001</v>
      </c>
      <c r="AJ76" s="55">
        <f t="shared" si="25"/>
        <v>2290.4584500000001</v>
      </c>
      <c r="AK76" s="55">
        <f t="shared" si="32"/>
        <v>-44.910950000000412</v>
      </c>
      <c r="AL76" s="60"/>
      <c r="AM76" s="71">
        <f t="shared" si="26"/>
        <v>2290.4584500000001</v>
      </c>
      <c r="AN76" s="55">
        <f t="shared" si="33"/>
        <v>-44.910950000000412</v>
      </c>
      <c r="AO76" s="60"/>
      <c r="AP76" s="71">
        <f>IF(VLOOKUP(A76,'Data &amp; Formulae'!$A$11:$F$91,6,0)="Y",Scen2Bonus*AF76,0)</f>
        <v>471.56497499999989</v>
      </c>
      <c r="AQ76" s="55">
        <f>IF(VLOOKUP(A76,'Data &amp; Formulae'!$A$11:$F$91,6,0)="Y",ClaimFundProp*AF76+AP76,0)</f>
        <v>2268.0029749999999</v>
      </c>
      <c r="AR76" s="55">
        <f t="shared" si="27"/>
        <v>2268.0029749999999</v>
      </c>
      <c r="AS76" s="55">
        <f t="shared" si="34"/>
        <v>-22.455475000000206</v>
      </c>
      <c r="AT76" s="60"/>
      <c r="AU76" s="71">
        <f>IF(VLOOKUP(A76,'Data &amp; Formulae'!$A$11:$F$91,6,0)="Y",SurrPay*AF76,0)</f>
        <v>56.138687499999996</v>
      </c>
      <c r="AV76" s="73"/>
      <c r="AX76" s="4" t="b">
        <f t="shared" si="28"/>
        <v>1</v>
      </c>
      <c r="AY76" s="89" t="e">
        <f>(S76/(R76+H76)-1)-VLOOKUP(AY$3,'Returns &amp; Bonus'!$A$5:$B$15,2,0)</f>
        <v>#DIV/0!</v>
      </c>
      <c r="AZ76" s="89" t="e">
        <f>(T76/(S76+I76)-1)-VLOOKUP(AZ$3,'Returns &amp; Bonus'!$A$5:$B$15,2,0)</f>
        <v>#DIV/0!</v>
      </c>
      <c r="BA76" s="89" t="e">
        <f>(U76/(T76+J76)-1)-VLOOKUP(BA$3,'Returns &amp; Bonus'!$A$5:$B$15,2,0)</f>
        <v>#DIV/0!</v>
      </c>
      <c r="BB76" s="89" t="e">
        <f>(V76/(U76+K76)-1)-VLOOKUP(BB$3,'Returns &amp; Bonus'!$A$5:$B$15,2,0)</f>
        <v>#DIV/0!</v>
      </c>
      <c r="BC76" s="89" t="e">
        <f>(W76/(V76+L76)-1)-VLOOKUP(BC$3,'Returns &amp; Bonus'!$A$5:$B$15,2,0)</f>
        <v>#DIV/0!</v>
      </c>
      <c r="BD76" s="89" t="e">
        <f>(X76/(W76+M76)-1)-VLOOKUP(BD$3,'Returns &amp; Bonus'!$A$5:$B$15,2,0)</f>
        <v>#DIV/0!</v>
      </c>
      <c r="BE76" s="89" t="e">
        <f>(Y76/(X76+N76)-1)-VLOOKUP(BE$3,'Returns &amp; Bonus'!$A$5:$B$15,2,0)</f>
        <v>#DIV/0!</v>
      </c>
      <c r="BF76" s="89">
        <f>(Z76/(Y76+O76)-1)-VLOOKUP(BF$3,'Returns &amp; Bonus'!$A$5:$B$15,2,0)</f>
        <v>0</v>
      </c>
      <c r="BG76" s="89">
        <f>(AA76/(Z76+P76)-1)-VLOOKUP(BG$3,'Returns &amp; Bonus'!$A$5:$B$15,2,0)</f>
        <v>0</v>
      </c>
      <c r="BH76" s="89">
        <f>(AB76/(AA76+Q76)-1)-VLOOKUP(BH$3,'Returns &amp; Bonus'!$A$5:$B$15,2,0)</f>
        <v>0</v>
      </c>
    </row>
    <row r="77" spans="1:60" x14ac:dyDescent="0.25">
      <c r="A77" s="77">
        <f>'Amended Data'!A77</f>
        <v>74</v>
      </c>
      <c r="B77" s="75">
        <f>'Amended Data'!K77</f>
        <v>43101</v>
      </c>
      <c r="C77" s="55">
        <f>'Amended Data'!J77</f>
        <v>6404</v>
      </c>
      <c r="D77" s="56">
        <f>'Amended Data'!L77</f>
        <v>4</v>
      </c>
      <c r="E77" s="57">
        <f>'Amended Data'!M77</f>
        <v>2605.0849999999996</v>
      </c>
      <c r="F77" s="57" t="str">
        <f>'Data &amp; Formulae'!H85</f>
        <v>Y</v>
      </c>
      <c r="G77" s="57">
        <f t="shared" si="29"/>
        <v>0</v>
      </c>
      <c r="H77" s="57">
        <f t="shared" si="29"/>
        <v>0</v>
      </c>
      <c r="I77" s="57">
        <f t="shared" si="29"/>
        <v>0</v>
      </c>
      <c r="J77" s="57">
        <f t="shared" si="29"/>
        <v>0</v>
      </c>
      <c r="K77" s="57">
        <f t="shared" si="29"/>
        <v>0</v>
      </c>
      <c r="L77" s="57">
        <f t="shared" si="29"/>
        <v>0</v>
      </c>
      <c r="M77" s="57">
        <f t="shared" si="29"/>
        <v>0</v>
      </c>
      <c r="N77" s="57">
        <f t="shared" si="29"/>
        <v>0</v>
      </c>
      <c r="O77" s="57">
        <f t="shared" si="29"/>
        <v>6404</v>
      </c>
      <c r="P77" s="57">
        <f t="shared" si="29"/>
        <v>6404</v>
      </c>
      <c r="Q77" s="57">
        <f t="shared" si="29"/>
        <v>6404</v>
      </c>
      <c r="R77" s="57">
        <f>IF(R$3=2010,G77*(1+VLOOKUP(R$3,'Returns &amp; Bonus'!$A$5:$B$15,2,0)),(G77+Q77)*(1+VLOOKUP(R$3,'Returns &amp; Bonus'!$A$5:$B$15,2,0)))</f>
        <v>0</v>
      </c>
      <c r="S77" s="57">
        <f>IF(S$3=2010,H77*(1+VLOOKUP(S$3,'Returns &amp; Bonus'!$A$5:$B$15,2,0)),(H77+R77)*(1+VLOOKUP(S$3,'Returns &amp; Bonus'!$A$5:$B$15,2,0)))</f>
        <v>0</v>
      </c>
      <c r="T77" s="57">
        <f>IF(T$3=2010,I77*(1+VLOOKUP(T$3,'Returns &amp; Bonus'!$A$5:$B$15,2,0)),(I77+S77)*(1+VLOOKUP(T$3,'Returns &amp; Bonus'!$A$5:$B$15,2,0)))</f>
        <v>0</v>
      </c>
      <c r="U77" s="57">
        <f>IF(U$3=2010,J77*(1+VLOOKUP(U$3,'Returns &amp; Bonus'!$A$5:$B$15,2,0)),(J77+T77)*(1+VLOOKUP(U$3,'Returns &amp; Bonus'!$A$5:$B$15,2,0)))</f>
        <v>0</v>
      </c>
      <c r="V77" s="57">
        <f>IF(V$3=2010,K77*(1+VLOOKUP(V$3,'Returns &amp; Bonus'!$A$5:$B$15,2,0)),(K77+U77)*(1+VLOOKUP(V$3,'Returns &amp; Bonus'!$A$5:$B$15,2,0)))</f>
        <v>0</v>
      </c>
      <c r="W77" s="57">
        <f>IF(W$3=2010,L77*(1+VLOOKUP(W$3,'Returns &amp; Bonus'!$A$5:$B$15,2,0)),(L77+V77)*(1+VLOOKUP(W$3,'Returns &amp; Bonus'!$A$5:$B$15,2,0)))</f>
        <v>0</v>
      </c>
      <c r="X77" s="57">
        <f>IF(X$3=2010,M77*(1+VLOOKUP(X$3,'Returns &amp; Bonus'!$A$5:$B$15,2,0)),(M77+W77)*(1+VLOOKUP(X$3,'Returns &amp; Bonus'!$A$5:$B$15,2,0)))</f>
        <v>0</v>
      </c>
      <c r="Y77" s="57">
        <f>IF(Y$3=2010,N77*(1+VLOOKUP(Y$3,'Returns &amp; Bonus'!$A$5:$B$15,2,0)),(N77+X77)*(1+VLOOKUP(Y$3,'Returns &amp; Bonus'!$A$5:$B$15,2,0)))</f>
        <v>0</v>
      </c>
      <c r="Z77" s="57">
        <f>IF(Z$3=2010,O77*(1+VLOOKUP(Z$3,'Returns &amp; Bonus'!$A$5:$B$15,2,0)),(O77+Y77)*(1+VLOOKUP(Z$3,'Returns &amp; Bonus'!$A$5:$B$15,2,0)))</f>
        <v>7236.5199999999995</v>
      </c>
      <c r="AA77" s="57">
        <f>IF(AA$3=2010,P77*(1+VLOOKUP(AA$3,'Returns &amp; Bonus'!$A$5:$B$15,2,0)),(P77+Z77)*(1+VLOOKUP(AA$3,'Returns &amp; Bonus'!$A$5:$B$15,2,0)))</f>
        <v>15140.977200000001</v>
      </c>
      <c r="AB77" s="81">
        <f>IF(AB$3=2010,Q77*(1+VLOOKUP(AB$3,'Returns &amp; Bonus'!$A$5:$B$15,2,0)),(Q77+AA77)*(1+VLOOKUP(AB$3,'Returns &amp; Bonus'!$A$5:$B$15,2,0)))</f>
        <v>21114.077656000001</v>
      </c>
      <c r="AC77" s="85"/>
      <c r="AD77" s="58">
        <f t="shared" si="23"/>
        <v>18508.992656000002</v>
      </c>
      <c r="AE77" s="58">
        <f t="shared" si="24"/>
        <v>0</v>
      </c>
      <c r="AF77" s="58">
        <f t="shared" si="30"/>
        <v>2605.0849999999996</v>
      </c>
      <c r="AG77" s="58">
        <f t="shared" si="31"/>
        <v>18508.992656000002</v>
      </c>
      <c r="AH77" s="55">
        <f>IF(VLOOKUP(A77,'Data &amp; Formulae'!$A$11:$F$91,6,0)="Y",BonusFundProp*AF77*VLOOKUP(YEAR(B77),'Returns &amp; Bonus'!$G$4:$I$15,3,0),0)</f>
        <v>573.11869999999999</v>
      </c>
      <c r="AI77" s="55">
        <f>IF(VLOOKUP(A77,'Data &amp; Formulae'!$A$11:$F$91,6,0)="Y",ClaimFundProp*AF77+AH77,0)</f>
        <v>2657.1866999999997</v>
      </c>
      <c r="AJ77" s="55">
        <f t="shared" si="25"/>
        <v>2657.1866999999997</v>
      </c>
      <c r="AK77" s="55">
        <f t="shared" si="32"/>
        <v>-52.101700000000164</v>
      </c>
      <c r="AL77" s="60"/>
      <c r="AM77" s="71">
        <f t="shared" si="26"/>
        <v>2657.1866999999997</v>
      </c>
      <c r="AN77" s="55">
        <f t="shared" si="33"/>
        <v>-52.101700000000164</v>
      </c>
      <c r="AO77" s="60"/>
      <c r="AP77" s="71">
        <f>IF(VLOOKUP(A77,'Data &amp; Formulae'!$A$11:$F$91,6,0)="Y",Scen2Bonus*AF77,0)</f>
        <v>547.06784999999991</v>
      </c>
      <c r="AQ77" s="55">
        <f>IF(VLOOKUP(A77,'Data &amp; Formulae'!$A$11:$F$91,6,0)="Y",ClaimFundProp*AF77+AP77,0)</f>
        <v>2631.1358499999997</v>
      </c>
      <c r="AR77" s="55">
        <f t="shared" si="27"/>
        <v>2631.1358499999997</v>
      </c>
      <c r="AS77" s="55">
        <f t="shared" si="34"/>
        <v>-26.050850000000082</v>
      </c>
      <c r="AT77" s="60"/>
      <c r="AU77" s="71">
        <f>IF(VLOOKUP(A77,'Data &amp; Formulae'!$A$11:$F$91,6,0)="Y",SurrPay*AF77,0)</f>
        <v>65.127124999999992</v>
      </c>
      <c r="AV77" s="73"/>
      <c r="AX77" s="4" t="b">
        <f t="shared" si="28"/>
        <v>1</v>
      </c>
      <c r="AY77" s="89" t="e">
        <f>(S77/(R77+H77)-1)-VLOOKUP(AY$3,'Returns &amp; Bonus'!$A$5:$B$15,2,0)</f>
        <v>#DIV/0!</v>
      </c>
      <c r="AZ77" s="89" t="e">
        <f>(T77/(S77+I77)-1)-VLOOKUP(AZ$3,'Returns &amp; Bonus'!$A$5:$B$15,2,0)</f>
        <v>#DIV/0!</v>
      </c>
      <c r="BA77" s="89" t="e">
        <f>(U77/(T77+J77)-1)-VLOOKUP(BA$3,'Returns &amp; Bonus'!$A$5:$B$15,2,0)</f>
        <v>#DIV/0!</v>
      </c>
      <c r="BB77" s="89" t="e">
        <f>(V77/(U77+K77)-1)-VLOOKUP(BB$3,'Returns &amp; Bonus'!$A$5:$B$15,2,0)</f>
        <v>#DIV/0!</v>
      </c>
      <c r="BC77" s="89" t="e">
        <f>(W77/(V77+L77)-1)-VLOOKUP(BC$3,'Returns &amp; Bonus'!$A$5:$B$15,2,0)</f>
        <v>#DIV/0!</v>
      </c>
      <c r="BD77" s="89" t="e">
        <f>(X77/(W77+M77)-1)-VLOOKUP(BD$3,'Returns &amp; Bonus'!$A$5:$B$15,2,0)</f>
        <v>#DIV/0!</v>
      </c>
      <c r="BE77" s="89" t="e">
        <f>(Y77/(X77+N77)-1)-VLOOKUP(BE$3,'Returns &amp; Bonus'!$A$5:$B$15,2,0)</f>
        <v>#DIV/0!</v>
      </c>
      <c r="BF77" s="89">
        <f>(Z77/(Y77+O77)-1)-VLOOKUP(BF$3,'Returns &amp; Bonus'!$A$5:$B$15,2,0)</f>
        <v>0</v>
      </c>
      <c r="BG77" s="89">
        <f>(AA77/(Z77+P77)-1)-VLOOKUP(BG$3,'Returns &amp; Bonus'!$A$5:$B$15,2,0)</f>
        <v>0</v>
      </c>
      <c r="BH77" s="89">
        <f>(AB77/(AA77+Q77)-1)-VLOOKUP(BH$3,'Returns &amp; Bonus'!$A$5:$B$15,2,0)</f>
        <v>0</v>
      </c>
    </row>
    <row r="78" spans="1:60" x14ac:dyDescent="0.25">
      <c r="A78" s="77">
        <f>'Amended Data'!A78</f>
        <v>75</v>
      </c>
      <c r="B78" s="75">
        <f>'Amended Data'!K78</f>
        <v>43101</v>
      </c>
      <c r="C78" s="55">
        <f>'Amended Data'!J78</f>
        <v>2449</v>
      </c>
      <c r="D78" s="56">
        <f>'Amended Data'!L78</f>
        <v>27</v>
      </c>
      <c r="E78" s="57">
        <f>'Amended Data'!M78</f>
        <v>8074.3872860000001</v>
      </c>
      <c r="F78" s="57" t="str">
        <f>'Data &amp; Formulae'!H86</f>
        <v>N</v>
      </c>
      <c r="G78" s="57">
        <f t="shared" si="29"/>
        <v>0</v>
      </c>
      <c r="H78" s="57">
        <f t="shared" si="29"/>
        <v>0</v>
      </c>
      <c r="I78" s="57">
        <f t="shared" si="29"/>
        <v>0</v>
      </c>
      <c r="J78" s="57">
        <f t="shared" si="29"/>
        <v>0</v>
      </c>
      <c r="K78" s="57">
        <f t="shared" si="29"/>
        <v>0</v>
      </c>
      <c r="L78" s="57">
        <f t="shared" si="29"/>
        <v>0</v>
      </c>
      <c r="M78" s="57">
        <f t="shared" si="29"/>
        <v>0</v>
      </c>
      <c r="N78" s="57">
        <f t="shared" si="29"/>
        <v>0</v>
      </c>
      <c r="O78" s="57">
        <f t="shared" si="29"/>
        <v>2449</v>
      </c>
      <c r="P78" s="57">
        <f t="shared" si="29"/>
        <v>2449</v>
      </c>
      <c r="Q78" s="57">
        <f t="shared" si="29"/>
        <v>2449</v>
      </c>
      <c r="R78" s="57">
        <f>IF(R$3=2010,G78*(1+VLOOKUP(R$3,'Returns &amp; Bonus'!$A$5:$B$15,2,0)),(G78+Q78)*(1+VLOOKUP(R$3,'Returns &amp; Bonus'!$A$5:$B$15,2,0)))</f>
        <v>0</v>
      </c>
      <c r="S78" s="57">
        <f>IF(S$3=2010,H78*(1+VLOOKUP(S$3,'Returns &amp; Bonus'!$A$5:$B$15,2,0)),(H78+R78)*(1+VLOOKUP(S$3,'Returns &amp; Bonus'!$A$5:$B$15,2,0)))</f>
        <v>0</v>
      </c>
      <c r="T78" s="57">
        <f>IF(T$3=2010,I78*(1+VLOOKUP(T$3,'Returns &amp; Bonus'!$A$5:$B$15,2,0)),(I78+S78)*(1+VLOOKUP(T$3,'Returns &amp; Bonus'!$A$5:$B$15,2,0)))</f>
        <v>0</v>
      </c>
      <c r="U78" s="57">
        <f>IF(U$3=2010,J78*(1+VLOOKUP(U$3,'Returns &amp; Bonus'!$A$5:$B$15,2,0)),(J78+T78)*(1+VLOOKUP(U$3,'Returns &amp; Bonus'!$A$5:$B$15,2,0)))</f>
        <v>0</v>
      </c>
      <c r="V78" s="57">
        <f>IF(V$3=2010,K78*(1+VLOOKUP(V$3,'Returns &amp; Bonus'!$A$5:$B$15,2,0)),(K78+U78)*(1+VLOOKUP(V$3,'Returns &amp; Bonus'!$A$5:$B$15,2,0)))</f>
        <v>0</v>
      </c>
      <c r="W78" s="57">
        <f>IF(W$3=2010,L78*(1+VLOOKUP(W$3,'Returns &amp; Bonus'!$A$5:$B$15,2,0)),(L78+V78)*(1+VLOOKUP(W$3,'Returns &amp; Bonus'!$A$5:$B$15,2,0)))</f>
        <v>0</v>
      </c>
      <c r="X78" s="57">
        <f>IF(X$3=2010,M78*(1+VLOOKUP(X$3,'Returns &amp; Bonus'!$A$5:$B$15,2,0)),(M78+W78)*(1+VLOOKUP(X$3,'Returns &amp; Bonus'!$A$5:$B$15,2,0)))</f>
        <v>0</v>
      </c>
      <c r="Y78" s="57">
        <f>IF(Y$3=2010,N78*(1+VLOOKUP(Y$3,'Returns &amp; Bonus'!$A$5:$B$15,2,0)),(N78+X78)*(1+VLOOKUP(Y$3,'Returns &amp; Bonus'!$A$5:$B$15,2,0)))</f>
        <v>0</v>
      </c>
      <c r="Z78" s="57">
        <f>IF(Z$3=2010,O78*(1+VLOOKUP(Z$3,'Returns &amp; Bonus'!$A$5:$B$15,2,0)),(O78+Y78)*(1+VLOOKUP(Z$3,'Returns &amp; Bonus'!$A$5:$B$15,2,0)))</f>
        <v>2767.37</v>
      </c>
      <c r="AA78" s="57">
        <f>IF(AA$3=2010,P78*(1+VLOOKUP(AA$3,'Returns &amp; Bonus'!$A$5:$B$15,2,0)),(P78+Z78)*(1+VLOOKUP(AA$3,'Returns &amp; Bonus'!$A$5:$B$15,2,0)))</f>
        <v>5790.1707000000006</v>
      </c>
      <c r="AB78" s="81">
        <f>IF(AB$3=2010,Q78*(1+VLOOKUP(AB$3,'Returns &amp; Bonus'!$A$5:$B$15,2,0)),(Q78+AA78)*(1+VLOOKUP(AB$3,'Returns &amp; Bonus'!$A$5:$B$15,2,0)))</f>
        <v>8074.3872860000001</v>
      </c>
      <c r="AC78" s="85"/>
      <c r="AD78" s="58">
        <f t="shared" si="23"/>
        <v>0</v>
      </c>
      <c r="AE78" s="58">
        <f t="shared" si="24"/>
        <v>0</v>
      </c>
      <c r="AF78" s="58">
        <f t="shared" si="30"/>
        <v>8074.3872860000001</v>
      </c>
      <c r="AG78" s="58">
        <f t="shared" si="31"/>
        <v>0</v>
      </c>
      <c r="AH78" s="55">
        <f>IF(VLOOKUP(A78,'Data &amp; Formulae'!$A$11:$F$91,6,0)="Y",BonusFundProp*AF78*VLOOKUP(YEAR(B78),'Returns &amp; Bonus'!$G$4:$I$15,3,0),0)</f>
        <v>1776.3652029200005</v>
      </c>
      <c r="AI78" s="55">
        <f>IF(VLOOKUP(A78,'Data &amp; Formulae'!$A$11:$F$91,6,0)="Y",ClaimFundProp*AF78+AH78,0)</f>
        <v>8235.8750317200011</v>
      </c>
      <c r="AJ78" s="55">
        <f t="shared" si="25"/>
        <v>8235.8750317200011</v>
      </c>
      <c r="AK78" s="55">
        <f t="shared" si="32"/>
        <v>-161.48774572000093</v>
      </c>
      <c r="AL78" s="60"/>
      <c r="AM78" s="71">
        <f t="shared" si="26"/>
        <v>8235.8750317200011</v>
      </c>
      <c r="AN78" s="55">
        <f t="shared" si="33"/>
        <v>-161.48774572000093</v>
      </c>
      <c r="AO78" s="60"/>
      <c r="AP78" s="71">
        <f>IF(VLOOKUP(A78,'Data &amp; Formulae'!$A$11:$F$91,6,0)="Y",Scen2Bonus*AF78,0)</f>
        <v>1695.62133006</v>
      </c>
      <c r="AQ78" s="55">
        <f>IF(VLOOKUP(A78,'Data &amp; Formulae'!$A$11:$F$91,6,0)="Y",ClaimFundProp*AF78+AP78,0)</f>
        <v>8155.1311588600011</v>
      </c>
      <c r="AR78" s="55">
        <f t="shared" si="27"/>
        <v>8155.1311588600011</v>
      </c>
      <c r="AS78" s="55">
        <f t="shared" si="34"/>
        <v>-80.74387286000092</v>
      </c>
      <c r="AT78" s="60"/>
      <c r="AU78" s="71">
        <f>IF(VLOOKUP(A78,'Data &amp; Formulae'!$A$11:$F$91,6,0)="Y",SurrPay*AF78,0)</f>
        <v>201.85968215000003</v>
      </c>
      <c r="AV78" s="73"/>
      <c r="AX78" s="4" t="b">
        <f t="shared" si="28"/>
        <v>1</v>
      </c>
      <c r="AY78" s="89" t="e">
        <f>(S78/(R78+H78)-1)-VLOOKUP(AY$3,'Returns &amp; Bonus'!$A$5:$B$15,2,0)</f>
        <v>#DIV/0!</v>
      </c>
      <c r="AZ78" s="89" t="e">
        <f>(T78/(S78+I78)-1)-VLOOKUP(AZ$3,'Returns &amp; Bonus'!$A$5:$B$15,2,0)</f>
        <v>#DIV/0!</v>
      </c>
      <c r="BA78" s="89" t="e">
        <f>(U78/(T78+J78)-1)-VLOOKUP(BA$3,'Returns &amp; Bonus'!$A$5:$B$15,2,0)</f>
        <v>#DIV/0!</v>
      </c>
      <c r="BB78" s="89" t="e">
        <f>(V78/(U78+K78)-1)-VLOOKUP(BB$3,'Returns &amp; Bonus'!$A$5:$B$15,2,0)</f>
        <v>#DIV/0!</v>
      </c>
      <c r="BC78" s="89" t="e">
        <f>(W78/(V78+L78)-1)-VLOOKUP(BC$3,'Returns &amp; Bonus'!$A$5:$B$15,2,0)</f>
        <v>#DIV/0!</v>
      </c>
      <c r="BD78" s="89" t="e">
        <f>(X78/(W78+M78)-1)-VLOOKUP(BD$3,'Returns &amp; Bonus'!$A$5:$B$15,2,0)</f>
        <v>#DIV/0!</v>
      </c>
      <c r="BE78" s="89" t="e">
        <f>(Y78/(X78+N78)-1)-VLOOKUP(BE$3,'Returns &amp; Bonus'!$A$5:$B$15,2,0)</f>
        <v>#DIV/0!</v>
      </c>
      <c r="BF78" s="89">
        <f>(Z78/(Y78+O78)-1)-VLOOKUP(BF$3,'Returns &amp; Bonus'!$A$5:$B$15,2,0)</f>
        <v>0</v>
      </c>
      <c r="BG78" s="89">
        <f>(AA78/(Z78+P78)-1)-VLOOKUP(BG$3,'Returns &amp; Bonus'!$A$5:$B$15,2,0)</f>
        <v>0</v>
      </c>
      <c r="BH78" s="89">
        <f>(AB78/(AA78+Q78)-1)-VLOOKUP(BH$3,'Returns &amp; Bonus'!$A$5:$B$15,2,0)</f>
        <v>0</v>
      </c>
    </row>
    <row r="79" spans="1:60" x14ac:dyDescent="0.25">
      <c r="A79" s="77">
        <f>'Amended Data'!A79</f>
        <v>76</v>
      </c>
      <c r="B79" s="75">
        <f>'Amended Data'!K79</f>
        <v>43466</v>
      </c>
      <c r="C79" s="55">
        <f>'Amended Data'!J79</f>
        <v>7555</v>
      </c>
      <c r="D79" s="56">
        <f>'Amended Data'!L79</f>
        <v>25</v>
      </c>
      <c r="E79" s="57">
        <f>'Amended Data'!M79</f>
        <v>15622.229000000001</v>
      </c>
      <c r="F79" s="57" t="str">
        <f>'Data &amp; Formulae'!H87</f>
        <v>N</v>
      </c>
      <c r="G79" s="57">
        <f t="shared" si="29"/>
        <v>0</v>
      </c>
      <c r="H79" s="57">
        <f t="shared" si="29"/>
        <v>0</v>
      </c>
      <c r="I79" s="57">
        <f t="shared" si="29"/>
        <v>0</v>
      </c>
      <c r="J79" s="57">
        <f t="shared" si="29"/>
        <v>0</v>
      </c>
      <c r="K79" s="57">
        <f t="shared" si="29"/>
        <v>0</v>
      </c>
      <c r="L79" s="57">
        <f t="shared" si="29"/>
        <v>0</v>
      </c>
      <c r="M79" s="57">
        <f t="shared" si="29"/>
        <v>0</v>
      </c>
      <c r="N79" s="57">
        <f t="shared" si="29"/>
        <v>0</v>
      </c>
      <c r="O79" s="57">
        <f t="shared" si="29"/>
        <v>0</v>
      </c>
      <c r="P79" s="57">
        <f t="shared" si="29"/>
        <v>7555</v>
      </c>
      <c r="Q79" s="57">
        <f t="shared" si="29"/>
        <v>7555</v>
      </c>
      <c r="R79" s="57">
        <f>IF(R$3=2010,G79*(1+VLOOKUP(R$3,'Returns &amp; Bonus'!$A$5:$B$15,2,0)),(G79+Q79)*(1+VLOOKUP(R$3,'Returns &amp; Bonus'!$A$5:$B$15,2,0)))</f>
        <v>0</v>
      </c>
      <c r="S79" s="57">
        <f>IF(S$3=2010,H79*(1+VLOOKUP(S$3,'Returns &amp; Bonus'!$A$5:$B$15,2,0)),(H79+R79)*(1+VLOOKUP(S$3,'Returns &amp; Bonus'!$A$5:$B$15,2,0)))</f>
        <v>0</v>
      </c>
      <c r="T79" s="57">
        <f>IF(T$3=2010,I79*(1+VLOOKUP(T$3,'Returns &amp; Bonus'!$A$5:$B$15,2,0)),(I79+S79)*(1+VLOOKUP(T$3,'Returns &amp; Bonus'!$A$5:$B$15,2,0)))</f>
        <v>0</v>
      </c>
      <c r="U79" s="57">
        <f>IF(U$3=2010,J79*(1+VLOOKUP(U$3,'Returns &amp; Bonus'!$A$5:$B$15,2,0)),(J79+T79)*(1+VLOOKUP(U$3,'Returns &amp; Bonus'!$A$5:$B$15,2,0)))</f>
        <v>0</v>
      </c>
      <c r="V79" s="57">
        <f>IF(V$3=2010,K79*(1+VLOOKUP(V$3,'Returns &amp; Bonus'!$A$5:$B$15,2,0)),(K79+U79)*(1+VLOOKUP(V$3,'Returns &amp; Bonus'!$A$5:$B$15,2,0)))</f>
        <v>0</v>
      </c>
      <c r="W79" s="57">
        <f>IF(W$3=2010,L79*(1+VLOOKUP(W$3,'Returns &amp; Bonus'!$A$5:$B$15,2,0)),(L79+V79)*(1+VLOOKUP(W$3,'Returns &amp; Bonus'!$A$5:$B$15,2,0)))</f>
        <v>0</v>
      </c>
      <c r="X79" s="57">
        <f>IF(X$3=2010,M79*(1+VLOOKUP(X$3,'Returns &amp; Bonus'!$A$5:$B$15,2,0)),(M79+W79)*(1+VLOOKUP(X$3,'Returns &amp; Bonus'!$A$5:$B$15,2,0)))</f>
        <v>0</v>
      </c>
      <c r="Y79" s="57">
        <f>IF(Y$3=2010,N79*(1+VLOOKUP(Y$3,'Returns &amp; Bonus'!$A$5:$B$15,2,0)),(N79+X79)*(1+VLOOKUP(Y$3,'Returns &amp; Bonus'!$A$5:$B$15,2,0)))</f>
        <v>0</v>
      </c>
      <c r="Z79" s="57">
        <f>IF(Z$3=2010,O79*(1+VLOOKUP(Z$3,'Returns &amp; Bonus'!$A$5:$B$15,2,0)),(O79+Y79)*(1+VLOOKUP(Z$3,'Returns &amp; Bonus'!$A$5:$B$15,2,0)))</f>
        <v>0</v>
      </c>
      <c r="AA79" s="57">
        <f>IF(AA$3=2010,P79*(1+VLOOKUP(AA$3,'Returns &amp; Bonus'!$A$5:$B$15,2,0)),(P79+Z79)*(1+VLOOKUP(AA$3,'Returns &amp; Bonus'!$A$5:$B$15,2,0)))</f>
        <v>8386.0500000000011</v>
      </c>
      <c r="AB79" s="81">
        <f>IF(AB$3=2010,Q79*(1+VLOOKUP(AB$3,'Returns &amp; Bonus'!$A$5:$B$15,2,0)),(Q79+AA79)*(1+VLOOKUP(AB$3,'Returns &amp; Bonus'!$A$5:$B$15,2,0)))</f>
        <v>15622.229000000001</v>
      </c>
      <c r="AC79" s="85"/>
      <c r="AD79" s="58">
        <f t="shared" si="23"/>
        <v>0</v>
      </c>
      <c r="AE79" s="58">
        <f t="shared" si="24"/>
        <v>0</v>
      </c>
      <c r="AF79" s="58">
        <f t="shared" si="30"/>
        <v>15622.229000000001</v>
      </c>
      <c r="AG79" s="58">
        <f t="shared" si="31"/>
        <v>0</v>
      </c>
      <c r="AH79" s="55">
        <f>IF(VLOOKUP(A79,'Data &amp; Formulae'!$A$11:$F$91,6,0)="Y",BonusFundProp*AF79*VLOOKUP(YEAR(B79),'Returns &amp; Bonus'!$G$4:$I$15,3,0),0)</f>
        <v>3436.8903800000007</v>
      </c>
      <c r="AI79" s="55">
        <f>IF(VLOOKUP(A79,'Data &amp; Formulae'!$A$11:$F$91,6,0)="Y",ClaimFundProp*AF79+AH79,0)</f>
        <v>15934.673580000002</v>
      </c>
      <c r="AJ79" s="55">
        <f t="shared" si="25"/>
        <v>15934.673580000002</v>
      </c>
      <c r="AK79" s="55">
        <f t="shared" si="32"/>
        <v>-312.44458000000122</v>
      </c>
      <c r="AL79" s="60"/>
      <c r="AM79" s="71">
        <f t="shared" si="26"/>
        <v>15934.673580000002</v>
      </c>
      <c r="AN79" s="55">
        <f t="shared" si="33"/>
        <v>-312.44458000000122</v>
      </c>
      <c r="AO79" s="60"/>
      <c r="AP79" s="71">
        <f>IF(VLOOKUP(A79,'Data &amp; Formulae'!$A$11:$F$91,6,0)="Y",Scen2Bonus*AF79,0)</f>
        <v>3280.6680900000001</v>
      </c>
      <c r="AQ79" s="55">
        <f>IF(VLOOKUP(A79,'Data &amp; Formulae'!$A$11:$F$91,6,0)="Y",ClaimFundProp*AF79+AP79,0)</f>
        <v>15778.451290000001</v>
      </c>
      <c r="AR79" s="55">
        <f t="shared" si="27"/>
        <v>15778.451290000001</v>
      </c>
      <c r="AS79" s="55">
        <f t="shared" si="34"/>
        <v>-156.2222899999997</v>
      </c>
      <c r="AT79" s="60"/>
      <c r="AU79" s="71">
        <f>IF(VLOOKUP(A79,'Data &amp; Formulae'!$A$11:$F$91,6,0)="Y",SurrPay*AF79,0)</f>
        <v>390.55572500000005</v>
      </c>
      <c r="AV79" s="73"/>
      <c r="AX79" s="4" t="b">
        <f t="shared" si="28"/>
        <v>1</v>
      </c>
      <c r="AY79" s="89" t="e">
        <f>(S79/(R79+H79)-1)-VLOOKUP(AY$3,'Returns &amp; Bonus'!$A$5:$B$15,2,0)</f>
        <v>#DIV/0!</v>
      </c>
      <c r="AZ79" s="89" t="e">
        <f>(T79/(S79+I79)-1)-VLOOKUP(AZ$3,'Returns &amp; Bonus'!$A$5:$B$15,2,0)</f>
        <v>#DIV/0!</v>
      </c>
      <c r="BA79" s="89" t="e">
        <f>(U79/(T79+J79)-1)-VLOOKUP(BA$3,'Returns &amp; Bonus'!$A$5:$B$15,2,0)</f>
        <v>#DIV/0!</v>
      </c>
      <c r="BB79" s="89" t="e">
        <f>(V79/(U79+K79)-1)-VLOOKUP(BB$3,'Returns &amp; Bonus'!$A$5:$B$15,2,0)</f>
        <v>#DIV/0!</v>
      </c>
      <c r="BC79" s="89" t="e">
        <f>(W79/(V79+L79)-1)-VLOOKUP(BC$3,'Returns &amp; Bonus'!$A$5:$B$15,2,0)</f>
        <v>#DIV/0!</v>
      </c>
      <c r="BD79" s="89" t="e">
        <f>(X79/(W79+M79)-1)-VLOOKUP(BD$3,'Returns &amp; Bonus'!$A$5:$B$15,2,0)</f>
        <v>#DIV/0!</v>
      </c>
      <c r="BE79" s="89" t="e">
        <f>(Y79/(X79+N79)-1)-VLOOKUP(BE$3,'Returns &amp; Bonus'!$A$5:$B$15,2,0)</f>
        <v>#DIV/0!</v>
      </c>
      <c r="BF79" s="89" t="e">
        <f>(Z79/(Y79+O79)-1)-VLOOKUP(BF$3,'Returns &amp; Bonus'!$A$5:$B$15,2,0)</f>
        <v>#DIV/0!</v>
      </c>
      <c r="BG79" s="89">
        <f>(AA79/(Z79+P79)-1)-VLOOKUP(BG$3,'Returns &amp; Bonus'!$A$5:$B$15,2,0)</f>
        <v>0</v>
      </c>
      <c r="BH79" s="89">
        <f>(AB79/(AA79+Q79)-1)-VLOOKUP(BH$3,'Returns &amp; Bonus'!$A$5:$B$15,2,0)</f>
        <v>0</v>
      </c>
    </row>
    <row r="80" spans="1:60" x14ac:dyDescent="0.25">
      <c r="A80" s="77">
        <f>'Amended Data'!A80</f>
        <v>77</v>
      </c>
      <c r="B80" s="75">
        <f>'Amended Data'!K80</f>
        <v>43466</v>
      </c>
      <c r="C80" s="55">
        <f>'Amended Data'!J80</f>
        <v>1857</v>
      </c>
      <c r="D80" s="56">
        <f>'Amended Data'!L80</f>
        <v>5</v>
      </c>
      <c r="E80" s="57">
        <f>'Amended Data'!M80</f>
        <v>3839.9045999999998</v>
      </c>
      <c r="F80" s="57" t="str">
        <f>'Data &amp; Formulae'!H88</f>
        <v>N</v>
      </c>
      <c r="G80" s="57">
        <f t="shared" si="29"/>
        <v>0</v>
      </c>
      <c r="H80" s="57">
        <f t="shared" si="29"/>
        <v>0</v>
      </c>
      <c r="I80" s="57">
        <f t="shared" si="29"/>
        <v>0</v>
      </c>
      <c r="J80" s="57">
        <f t="shared" si="29"/>
        <v>0</v>
      </c>
      <c r="K80" s="57">
        <f t="shared" si="29"/>
        <v>0</v>
      </c>
      <c r="L80" s="57">
        <f t="shared" si="29"/>
        <v>0</v>
      </c>
      <c r="M80" s="57">
        <f t="shared" si="29"/>
        <v>0</v>
      </c>
      <c r="N80" s="57">
        <f t="shared" si="29"/>
        <v>0</v>
      </c>
      <c r="O80" s="57">
        <f t="shared" si="29"/>
        <v>0</v>
      </c>
      <c r="P80" s="57">
        <f t="shared" si="29"/>
        <v>1857</v>
      </c>
      <c r="Q80" s="57">
        <f t="shared" si="29"/>
        <v>1857</v>
      </c>
      <c r="R80" s="57">
        <f>IF(R$3=2010,G80*(1+VLOOKUP(R$3,'Returns &amp; Bonus'!$A$5:$B$15,2,0)),(G80+Q80)*(1+VLOOKUP(R$3,'Returns &amp; Bonus'!$A$5:$B$15,2,0)))</f>
        <v>0</v>
      </c>
      <c r="S80" s="57">
        <f>IF(S$3=2010,H80*(1+VLOOKUP(S$3,'Returns &amp; Bonus'!$A$5:$B$15,2,0)),(H80+R80)*(1+VLOOKUP(S$3,'Returns &amp; Bonus'!$A$5:$B$15,2,0)))</f>
        <v>0</v>
      </c>
      <c r="T80" s="57">
        <f>IF(T$3=2010,I80*(1+VLOOKUP(T$3,'Returns &amp; Bonus'!$A$5:$B$15,2,0)),(I80+S80)*(1+VLOOKUP(T$3,'Returns &amp; Bonus'!$A$5:$B$15,2,0)))</f>
        <v>0</v>
      </c>
      <c r="U80" s="57">
        <f>IF(U$3=2010,J80*(1+VLOOKUP(U$3,'Returns &amp; Bonus'!$A$5:$B$15,2,0)),(J80+T80)*(1+VLOOKUP(U$3,'Returns &amp; Bonus'!$A$5:$B$15,2,0)))</f>
        <v>0</v>
      </c>
      <c r="V80" s="57">
        <f>IF(V$3=2010,K80*(1+VLOOKUP(V$3,'Returns &amp; Bonus'!$A$5:$B$15,2,0)),(K80+U80)*(1+VLOOKUP(V$3,'Returns &amp; Bonus'!$A$5:$B$15,2,0)))</f>
        <v>0</v>
      </c>
      <c r="W80" s="57">
        <f>IF(W$3=2010,L80*(1+VLOOKUP(W$3,'Returns &amp; Bonus'!$A$5:$B$15,2,0)),(L80+V80)*(1+VLOOKUP(W$3,'Returns &amp; Bonus'!$A$5:$B$15,2,0)))</f>
        <v>0</v>
      </c>
      <c r="X80" s="57">
        <f>IF(X$3=2010,M80*(1+VLOOKUP(X$3,'Returns &amp; Bonus'!$A$5:$B$15,2,0)),(M80+W80)*(1+VLOOKUP(X$3,'Returns &amp; Bonus'!$A$5:$B$15,2,0)))</f>
        <v>0</v>
      </c>
      <c r="Y80" s="57">
        <f>IF(Y$3=2010,N80*(1+VLOOKUP(Y$3,'Returns &amp; Bonus'!$A$5:$B$15,2,0)),(N80+X80)*(1+VLOOKUP(Y$3,'Returns &amp; Bonus'!$A$5:$B$15,2,0)))</f>
        <v>0</v>
      </c>
      <c r="Z80" s="57">
        <f>IF(Z$3=2010,O80*(1+VLOOKUP(Z$3,'Returns &amp; Bonus'!$A$5:$B$15,2,0)),(O80+Y80)*(1+VLOOKUP(Z$3,'Returns &amp; Bonus'!$A$5:$B$15,2,0)))</f>
        <v>0</v>
      </c>
      <c r="AA80" s="57">
        <f>IF(AA$3=2010,P80*(1+VLOOKUP(AA$3,'Returns &amp; Bonus'!$A$5:$B$15,2,0)),(P80+Z80)*(1+VLOOKUP(AA$3,'Returns &amp; Bonus'!$A$5:$B$15,2,0)))</f>
        <v>2061.27</v>
      </c>
      <c r="AB80" s="81">
        <f>IF(AB$3=2010,Q80*(1+VLOOKUP(AB$3,'Returns &amp; Bonus'!$A$5:$B$15,2,0)),(Q80+AA80)*(1+VLOOKUP(AB$3,'Returns &amp; Bonus'!$A$5:$B$15,2,0)))</f>
        <v>3839.9045999999998</v>
      </c>
      <c r="AC80" s="85"/>
      <c r="AD80" s="58">
        <f t="shared" si="23"/>
        <v>0</v>
      </c>
      <c r="AE80" s="58">
        <f t="shared" si="24"/>
        <v>0</v>
      </c>
      <c r="AF80" s="58">
        <f t="shared" si="30"/>
        <v>3839.9045999999998</v>
      </c>
      <c r="AG80" s="58">
        <f t="shared" si="31"/>
        <v>0</v>
      </c>
      <c r="AH80" s="55">
        <f>IF(VLOOKUP(A80,'Data &amp; Formulae'!$A$11:$F$91,6,0)="Y",BonusFundProp*AF80*VLOOKUP(YEAR(B80),'Returns &amp; Bonus'!$G$4:$I$15,3,0),0)</f>
        <v>0</v>
      </c>
      <c r="AI80" s="55">
        <f>IF(VLOOKUP(A80,'Data &amp; Formulae'!$A$11:$F$91,6,0)="Y",ClaimFundProp*AF80+AH80,0)</f>
        <v>0</v>
      </c>
      <c r="AJ80" s="55">
        <f t="shared" si="25"/>
        <v>0</v>
      </c>
      <c r="AK80" s="55">
        <f t="shared" si="32"/>
        <v>0</v>
      </c>
      <c r="AL80" s="60"/>
      <c r="AM80" s="71">
        <f t="shared" si="26"/>
        <v>0</v>
      </c>
      <c r="AN80" s="55">
        <f t="shared" si="33"/>
        <v>0</v>
      </c>
      <c r="AO80" s="60"/>
      <c r="AP80" s="71">
        <f>IF(VLOOKUP(A80,'Data &amp; Formulae'!$A$11:$F$91,6,0)="Y",Scen2Bonus*AF80,0)</f>
        <v>0</v>
      </c>
      <c r="AQ80" s="55">
        <f>IF(VLOOKUP(A80,'Data &amp; Formulae'!$A$11:$F$91,6,0)="Y",ClaimFundProp*AF80+AP80,0)</f>
        <v>0</v>
      </c>
      <c r="AR80" s="55">
        <f t="shared" si="27"/>
        <v>0</v>
      </c>
      <c r="AS80" s="55">
        <f t="shared" si="34"/>
        <v>0</v>
      </c>
      <c r="AT80" s="60"/>
      <c r="AU80" s="71">
        <f>IF(VLOOKUP(A80,'Data &amp; Formulae'!$A$11:$F$91,6,0)="Y",SurrPay*AF80,0)</f>
        <v>0</v>
      </c>
      <c r="AV80" s="73"/>
      <c r="AX80" s="4" t="b">
        <f t="shared" si="28"/>
        <v>1</v>
      </c>
      <c r="AY80" s="89" t="e">
        <f>(S80/(R80+H80)-1)-VLOOKUP(AY$3,'Returns &amp; Bonus'!$A$5:$B$15,2,0)</f>
        <v>#DIV/0!</v>
      </c>
      <c r="AZ80" s="89" t="e">
        <f>(T80/(S80+I80)-1)-VLOOKUP(AZ$3,'Returns &amp; Bonus'!$A$5:$B$15,2,0)</f>
        <v>#DIV/0!</v>
      </c>
      <c r="BA80" s="89" t="e">
        <f>(U80/(T80+J80)-1)-VLOOKUP(BA$3,'Returns &amp; Bonus'!$A$5:$B$15,2,0)</f>
        <v>#DIV/0!</v>
      </c>
      <c r="BB80" s="89" t="e">
        <f>(V80/(U80+K80)-1)-VLOOKUP(BB$3,'Returns &amp; Bonus'!$A$5:$B$15,2,0)</f>
        <v>#DIV/0!</v>
      </c>
      <c r="BC80" s="89" t="e">
        <f>(W80/(V80+L80)-1)-VLOOKUP(BC$3,'Returns &amp; Bonus'!$A$5:$B$15,2,0)</f>
        <v>#DIV/0!</v>
      </c>
      <c r="BD80" s="89" t="e">
        <f>(X80/(W80+M80)-1)-VLOOKUP(BD$3,'Returns &amp; Bonus'!$A$5:$B$15,2,0)</f>
        <v>#DIV/0!</v>
      </c>
      <c r="BE80" s="89" t="e">
        <f>(Y80/(X80+N80)-1)-VLOOKUP(BE$3,'Returns &amp; Bonus'!$A$5:$B$15,2,0)</f>
        <v>#DIV/0!</v>
      </c>
      <c r="BF80" s="89" t="e">
        <f>(Z80/(Y80+O80)-1)-VLOOKUP(BF$3,'Returns &amp; Bonus'!$A$5:$B$15,2,0)</f>
        <v>#DIV/0!</v>
      </c>
      <c r="BG80" s="89">
        <f>(AA80/(Z80+P80)-1)-VLOOKUP(BG$3,'Returns &amp; Bonus'!$A$5:$B$15,2,0)</f>
        <v>0</v>
      </c>
      <c r="BH80" s="89">
        <f>(AB80/(AA80+Q80)-1)-VLOOKUP(BH$3,'Returns &amp; Bonus'!$A$5:$B$15,2,0)</f>
        <v>0</v>
      </c>
    </row>
    <row r="81" spans="1:60" x14ac:dyDescent="0.25">
      <c r="A81" s="77">
        <f>'Amended Data'!A81</f>
        <v>78</v>
      </c>
      <c r="B81" s="75">
        <f>'Amended Data'!K81</f>
        <v>43466</v>
      </c>
      <c r="C81" s="55">
        <f>'Amended Data'!J81</f>
        <v>5117</v>
      </c>
      <c r="D81" s="56">
        <f>'Amended Data'!L81</f>
        <v>7</v>
      </c>
      <c r="E81" s="57">
        <f>'Amended Data'!M81</f>
        <v>10580.9326</v>
      </c>
      <c r="F81" s="57" t="str">
        <f>'Data &amp; Formulae'!H89</f>
        <v>N</v>
      </c>
      <c r="G81" s="57">
        <f t="shared" si="29"/>
        <v>0</v>
      </c>
      <c r="H81" s="57">
        <f t="shared" si="29"/>
        <v>0</v>
      </c>
      <c r="I81" s="57">
        <f t="shared" si="29"/>
        <v>0</v>
      </c>
      <c r="J81" s="57">
        <f t="shared" si="29"/>
        <v>0</v>
      </c>
      <c r="K81" s="57">
        <f t="shared" si="29"/>
        <v>0</v>
      </c>
      <c r="L81" s="57">
        <f t="shared" si="29"/>
        <v>0</v>
      </c>
      <c r="M81" s="57">
        <f t="shared" si="29"/>
        <v>0</v>
      </c>
      <c r="N81" s="57">
        <f t="shared" si="29"/>
        <v>0</v>
      </c>
      <c r="O81" s="57">
        <f t="shared" si="29"/>
        <v>0</v>
      </c>
      <c r="P81" s="57">
        <f t="shared" si="29"/>
        <v>5117</v>
      </c>
      <c r="Q81" s="57">
        <f t="shared" si="29"/>
        <v>5117</v>
      </c>
      <c r="R81" s="57">
        <f>IF(R$3=2010,G81*(1+VLOOKUP(R$3,'Returns &amp; Bonus'!$A$5:$B$15,2,0)),(G81+Q81)*(1+VLOOKUP(R$3,'Returns &amp; Bonus'!$A$5:$B$15,2,0)))</f>
        <v>0</v>
      </c>
      <c r="S81" s="57">
        <f>IF(S$3=2010,H81*(1+VLOOKUP(S$3,'Returns &amp; Bonus'!$A$5:$B$15,2,0)),(H81+R81)*(1+VLOOKUP(S$3,'Returns &amp; Bonus'!$A$5:$B$15,2,0)))</f>
        <v>0</v>
      </c>
      <c r="T81" s="57">
        <f>IF(T$3=2010,I81*(1+VLOOKUP(T$3,'Returns &amp; Bonus'!$A$5:$B$15,2,0)),(I81+S81)*(1+VLOOKUP(T$3,'Returns &amp; Bonus'!$A$5:$B$15,2,0)))</f>
        <v>0</v>
      </c>
      <c r="U81" s="57">
        <f>IF(U$3=2010,J81*(1+VLOOKUP(U$3,'Returns &amp; Bonus'!$A$5:$B$15,2,0)),(J81+T81)*(1+VLOOKUP(U$3,'Returns &amp; Bonus'!$A$5:$B$15,2,0)))</f>
        <v>0</v>
      </c>
      <c r="V81" s="57">
        <f>IF(V$3=2010,K81*(1+VLOOKUP(V$3,'Returns &amp; Bonus'!$A$5:$B$15,2,0)),(K81+U81)*(1+VLOOKUP(V$3,'Returns &amp; Bonus'!$A$5:$B$15,2,0)))</f>
        <v>0</v>
      </c>
      <c r="W81" s="57">
        <f>IF(W$3=2010,L81*(1+VLOOKUP(W$3,'Returns &amp; Bonus'!$A$5:$B$15,2,0)),(L81+V81)*(1+VLOOKUP(W$3,'Returns &amp; Bonus'!$A$5:$B$15,2,0)))</f>
        <v>0</v>
      </c>
      <c r="X81" s="57">
        <f>IF(X$3=2010,M81*(1+VLOOKUP(X$3,'Returns &amp; Bonus'!$A$5:$B$15,2,0)),(M81+W81)*(1+VLOOKUP(X$3,'Returns &amp; Bonus'!$A$5:$B$15,2,0)))</f>
        <v>0</v>
      </c>
      <c r="Y81" s="57">
        <f>IF(Y$3=2010,N81*(1+VLOOKUP(Y$3,'Returns &amp; Bonus'!$A$5:$B$15,2,0)),(N81+X81)*(1+VLOOKUP(Y$3,'Returns &amp; Bonus'!$A$5:$B$15,2,0)))</f>
        <v>0</v>
      </c>
      <c r="Z81" s="57">
        <f>IF(Z$3=2010,O81*(1+VLOOKUP(Z$3,'Returns &amp; Bonus'!$A$5:$B$15,2,0)),(O81+Y81)*(1+VLOOKUP(Z$3,'Returns &amp; Bonus'!$A$5:$B$15,2,0)))</f>
        <v>0</v>
      </c>
      <c r="AA81" s="57">
        <f>IF(AA$3=2010,P81*(1+VLOOKUP(AA$3,'Returns &amp; Bonus'!$A$5:$B$15,2,0)),(P81+Z81)*(1+VLOOKUP(AA$3,'Returns &amp; Bonus'!$A$5:$B$15,2,0)))</f>
        <v>5679.8700000000008</v>
      </c>
      <c r="AB81" s="81">
        <f>IF(AB$3=2010,Q81*(1+VLOOKUP(AB$3,'Returns &amp; Bonus'!$A$5:$B$15,2,0)),(Q81+AA81)*(1+VLOOKUP(AB$3,'Returns &amp; Bonus'!$A$5:$B$15,2,0)))</f>
        <v>10580.9326</v>
      </c>
      <c r="AC81" s="85"/>
      <c r="AD81" s="58">
        <f t="shared" si="23"/>
        <v>0</v>
      </c>
      <c r="AE81" s="58">
        <f t="shared" si="24"/>
        <v>0</v>
      </c>
      <c r="AF81" s="58">
        <f t="shared" si="30"/>
        <v>10580.9326</v>
      </c>
      <c r="AG81" s="58">
        <f t="shared" si="31"/>
        <v>0</v>
      </c>
      <c r="AH81" s="55">
        <f>IF(VLOOKUP(A81,'Data &amp; Formulae'!$A$11:$F$91,6,0)="Y",BonusFundProp*AF81*VLOOKUP(YEAR(B81),'Returns &amp; Bonus'!$G$4:$I$15,3,0),0)</f>
        <v>0</v>
      </c>
      <c r="AI81" s="55">
        <f>IF(VLOOKUP(A81,'Data &amp; Formulae'!$A$11:$F$91,6,0)="Y",ClaimFundProp*AF81+AH81,0)</f>
        <v>0</v>
      </c>
      <c r="AJ81" s="55">
        <f t="shared" si="25"/>
        <v>0</v>
      </c>
      <c r="AK81" s="55">
        <f t="shared" si="32"/>
        <v>0</v>
      </c>
      <c r="AL81" s="60"/>
      <c r="AM81" s="71">
        <f t="shared" si="26"/>
        <v>0</v>
      </c>
      <c r="AN81" s="55">
        <f t="shared" si="33"/>
        <v>0</v>
      </c>
      <c r="AO81" s="60"/>
      <c r="AP81" s="71">
        <f>IF(VLOOKUP(A81,'Data &amp; Formulae'!$A$11:$F$91,6,0)="Y",Scen2Bonus*AF81,0)</f>
        <v>0</v>
      </c>
      <c r="AQ81" s="55">
        <f>IF(VLOOKUP(A81,'Data &amp; Formulae'!$A$11:$F$91,6,0)="Y",ClaimFundProp*AF81+AP81,0)</f>
        <v>0</v>
      </c>
      <c r="AR81" s="55">
        <f t="shared" si="27"/>
        <v>0</v>
      </c>
      <c r="AS81" s="55">
        <f t="shared" si="34"/>
        <v>0</v>
      </c>
      <c r="AT81" s="60"/>
      <c r="AU81" s="71">
        <f>IF(VLOOKUP(A81,'Data &amp; Formulae'!$A$11:$F$91,6,0)="Y",SurrPay*AF81,0)</f>
        <v>0</v>
      </c>
      <c r="AV81" s="73"/>
      <c r="AX81" s="4" t="b">
        <f t="shared" si="28"/>
        <v>1</v>
      </c>
      <c r="AY81" s="89" t="e">
        <f>(S81/(R81+H81)-1)-VLOOKUP(AY$3,'Returns &amp; Bonus'!$A$5:$B$15,2,0)</f>
        <v>#DIV/0!</v>
      </c>
      <c r="AZ81" s="89" t="e">
        <f>(T81/(S81+I81)-1)-VLOOKUP(AZ$3,'Returns &amp; Bonus'!$A$5:$B$15,2,0)</f>
        <v>#DIV/0!</v>
      </c>
      <c r="BA81" s="89" t="e">
        <f>(U81/(T81+J81)-1)-VLOOKUP(BA$3,'Returns &amp; Bonus'!$A$5:$B$15,2,0)</f>
        <v>#DIV/0!</v>
      </c>
      <c r="BB81" s="89" t="e">
        <f>(V81/(U81+K81)-1)-VLOOKUP(BB$3,'Returns &amp; Bonus'!$A$5:$B$15,2,0)</f>
        <v>#DIV/0!</v>
      </c>
      <c r="BC81" s="89" t="e">
        <f>(W81/(V81+L81)-1)-VLOOKUP(BC$3,'Returns &amp; Bonus'!$A$5:$B$15,2,0)</f>
        <v>#DIV/0!</v>
      </c>
      <c r="BD81" s="89" t="e">
        <f>(X81/(W81+M81)-1)-VLOOKUP(BD$3,'Returns &amp; Bonus'!$A$5:$B$15,2,0)</f>
        <v>#DIV/0!</v>
      </c>
      <c r="BE81" s="89" t="e">
        <f>(Y81/(X81+N81)-1)-VLOOKUP(BE$3,'Returns &amp; Bonus'!$A$5:$B$15,2,0)</f>
        <v>#DIV/0!</v>
      </c>
      <c r="BF81" s="89" t="e">
        <f>(Z81/(Y81+O81)-1)-VLOOKUP(BF$3,'Returns &amp; Bonus'!$A$5:$B$15,2,0)</f>
        <v>#DIV/0!</v>
      </c>
      <c r="BG81" s="89">
        <f>(AA81/(Z81+P81)-1)-VLOOKUP(BG$3,'Returns &amp; Bonus'!$A$5:$B$15,2,0)</f>
        <v>0</v>
      </c>
      <c r="BH81" s="89">
        <f>(AB81/(AA81+Q81)-1)-VLOOKUP(BH$3,'Returns &amp; Bonus'!$A$5:$B$15,2,0)</f>
        <v>0</v>
      </c>
    </row>
    <row r="82" spans="1:60" x14ac:dyDescent="0.25">
      <c r="A82" s="77">
        <f>'Amended Data'!A82</f>
        <v>79</v>
      </c>
      <c r="B82" s="75">
        <f>'Amended Data'!K82</f>
        <v>43466</v>
      </c>
      <c r="C82" s="55">
        <f>'Amended Data'!J82</f>
        <v>5332</v>
      </c>
      <c r="D82" s="56">
        <f>'Amended Data'!L82</f>
        <v>18</v>
      </c>
      <c r="E82" s="57">
        <f>'Amended Data'!M82</f>
        <v>11025.509599999999</v>
      </c>
      <c r="F82" s="57" t="str">
        <f>'Data &amp; Formulae'!H90</f>
        <v>N</v>
      </c>
      <c r="G82" s="57">
        <f t="shared" si="29"/>
        <v>0</v>
      </c>
      <c r="H82" s="57">
        <f t="shared" si="29"/>
        <v>0</v>
      </c>
      <c r="I82" s="57">
        <f t="shared" si="29"/>
        <v>0</v>
      </c>
      <c r="J82" s="57">
        <f t="shared" si="29"/>
        <v>0</v>
      </c>
      <c r="K82" s="57">
        <f t="shared" si="29"/>
        <v>0</v>
      </c>
      <c r="L82" s="57">
        <f t="shared" si="29"/>
        <v>0</v>
      </c>
      <c r="M82" s="57">
        <f t="shared" si="29"/>
        <v>0</v>
      </c>
      <c r="N82" s="57">
        <f t="shared" si="29"/>
        <v>0</v>
      </c>
      <c r="O82" s="57">
        <f t="shared" si="29"/>
        <v>0</v>
      </c>
      <c r="P82" s="57">
        <f t="shared" si="29"/>
        <v>5332</v>
      </c>
      <c r="Q82" s="57">
        <f t="shared" si="29"/>
        <v>5332</v>
      </c>
      <c r="R82" s="57">
        <f>IF(R$3=2010,G82*(1+VLOOKUP(R$3,'Returns &amp; Bonus'!$A$5:$B$15,2,0)),(G82+Q82)*(1+VLOOKUP(R$3,'Returns &amp; Bonus'!$A$5:$B$15,2,0)))</f>
        <v>0</v>
      </c>
      <c r="S82" s="57">
        <f>IF(S$3=2010,H82*(1+VLOOKUP(S$3,'Returns &amp; Bonus'!$A$5:$B$15,2,0)),(H82+R82)*(1+VLOOKUP(S$3,'Returns &amp; Bonus'!$A$5:$B$15,2,0)))</f>
        <v>0</v>
      </c>
      <c r="T82" s="57">
        <f>IF(T$3=2010,I82*(1+VLOOKUP(T$3,'Returns &amp; Bonus'!$A$5:$B$15,2,0)),(I82+S82)*(1+VLOOKUP(T$3,'Returns &amp; Bonus'!$A$5:$B$15,2,0)))</f>
        <v>0</v>
      </c>
      <c r="U82" s="57">
        <f>IF(U$3=2010,J82*(1+VLOOKUP(U$3,'Returns &amp; Bonus'!$A$5:$B$15,2,0)),(J82+T82)*(1+VLOOKUP(U$3,'Returns &amp; Bonus'!$A$5:$B$15,2,0)))</f>
        <v>0</v>
      </c>
      <c r="V82" s="57">
        <f>IF(V$3=2010,K82*(1+VLOOKUP(V$3,'Returns &amp; Bonus'!$A$5:$B$15,2,0)),(K82+U82)*(1+VLOOKUP(V$3,'Returns &amp; Bonus'!$A$5:$B$15,2,0)))</f>
        <v>0</v>
      </c>
      <c r="W82" s="57">
        <f>IF(W$3=2010,L82*(1+VLOOKUP(W$3,'Returns &amp; Bonus'!$A$5:$B$15,2,0)),(L82+V82)*(1+VLOOKUP(W$3,'Returns &amp; Bonus'!$A$5:$B$15,2,0)))</f>
        <v>0</v>
      </c>
      <c r="X82" s="57">
        <f>IF(X$3=2010,M82*(1+VLOOKUP(X$3,'Returns &amp; Bonus'!$A$5:$B$15,2,0)),(M82+W82)*(1+VLOOKUP(X$3,'Returns &amp; Bonus'!$A$5:$B$15,2,0)))</f>
        <v>0</v>
      </c>
      <c r="Y82" s="57">
        <f>IF(Y$3=2010,N82*(1+VLOOKUP(Y$3,'Returns &amp; Bonus'!$A$5:$B$15,2,0)),(N82+X82)*(1+VLOOKUP(Y$3,'Returns &amp; Bonus'!$A$5:$B$15,2,0)))</f>
        <v>0</v>
      </c>
      <c r="Z82" s="57">
        <f>IF(Z$3=2010,O82*(1+VLOOKUP(Z$3,'Returns &amp; Bonus'!$A$5:$B$15,2,0)),(O82+Y82)*(1+VLOOKUP(Z$3,'Returns &amp; Bonus'!$A$5:$B$15,2,0)))</f>
        <v>0</v>
      </c>
      <c r="AA82" s="57">
        <f>IF(AA$3=2010,P82*(1+VLOOKUP(AA$3,'Returns &amp; Bonus'!$A$5:$B$15,2,0)),(P82+Z82)*(1+VLOOKUP(AA$3,'Returns &amp; Bonus'!$A$5:$B$15,2,0)))</f>
        <v>5918.52</v>
      </c>
      <c r="AB82" s="81">
        <f>IF(AB$3=2010,Q82*(1+VLOOKUP(AB$3,'Returns &amp; Bonus'!$A$5:$B$15,2,0)),(Q82+AA82)*(1+VLOOKUP(AB$3,'Returns &amp; Bonus'!$A$5:$B$15,2,0)))</f>
        <v>11025.509599999999</v>
      </c>
      <c r="AC82" s="85"/>
      <c r="AD82" s="58">
        <f t="shared" si="23"/>
        <v>0</v>
      </c>
      <c r="AE82" s="58">
        <f t="shared" si="24"/>
        <v>0</v>
      </c>
      <c r="AF82" s="58">
        <f t="shared" si="30"/>
        <v>11025.509599999999</v>
      </c>
      <c r="AG82" s="58">
        <f t="shared" si="31"/>
        <v>0</v>
      </c>
      <c r="AH82" s="55">
        <f>IF(VLOOKUP(A82,'Data &amp; Formulae'!$A$11:$F$91,6,0)="Y",BonusFundProp*AF82*VLOOKUP(YEAR(B82),'Returns &amp; Bonus'!$G$4:$I$15,3,0),0)</f>
        <v>2425.6121120000003</v>
      </c>
      <c r="AI82" s="55">
        <f>IF(VLOOKUP(A82,'Data &amp; Formulae'!$A$11:$F$91,6,0)="Y",ClaimFundProp*AF82+AH82,0)</f>
        <v>11246.019792000001</v>
      </c>
      <c r="AJ82" s="55">
        <f t="shared" si="25"/>
        <v>11246.019792000001</v>
      </c>
      <c r="AK82" s="55">
        <f t="shared" si="32"/>
        <v>-220.51019200000155</v>
      </c>
      <c r="AL82" s="60"/>
      <c r="AM82" s="71">
        <f t="shared" si="26"/>
        <v>11246.019792000001</v>
      </c>
      <c r="AN82" s="55">
        <f t="shared" si="33"/>
        <v>-220.51019200000155</v>
      </c>
      <c r="AO82" s="60"/>
      <c r="AP82" s="71">
        <f>IF(VLOOKUP(A82,'Data &amp; Formulae'!$A$11:$F$91,6,0)="Y",Scen2Bonus*AF82,0)</f>
        <v>2315.3570159999999</v>
      </c>
      <c r="AQ82" s="55">
        <f>IF(VLOOKUP(A82,'Data &amp; Formulae'!$A$11:$F$91,6,0)="Y",ClaimFundProp*AF82+AP82,0)</f>
        <v>11135.764696</v>
      </c>
      <c r="AR82" s="55">
        <f t="shared" si="27"/>
        <v>11135.764696</v>
      </c>
      <c r="AS82" s="55">
        <f t="shared" si="34"/>
        <v>-110.25509600000078</v>
      </c>
      <c r="AT82" s="60"/>
      <c r="AU82" s="71">
        <f>IF(VLOOKUP(A82,'Data &amp; Formulae'!$A$11:$F$91,6,0)="Y",SurrPay*AF82,0)</f>
        <v>275.63774000000001</v>
      </c>
      <c r="AV82" s="73"/>
      <c r="AX82" s="4" t="b">
        <f t="shared" si="28"/>
        <v>1</v>
      </c>
      <c r="AY82" s="89" t="e">
        <f>(S82/(R82+H82)-1)-VLOOKUP(AY$3,'Returns &amp; Bonus'!$A$5:$B$15,2,0)</f>
        <v>#DIV/0!</v>
      </c>
      <c r="AZ82" s="89" t="e">
        <f>(T82/(S82+I82)-1)-VLOOKUP(AZ$3,'Returns &amp; Bonus'!$A$5:$B$15,2,0)</f>
        <v>#DIV/0!</v>
      </c>
      <c r="BA82" s="89" t="e">
        <f>(U82/(T82+J82)-1)-VLOOKUP(BA$3,'Returns &amp; Bonus'!$A$5:$B$15,2,0)</f>
        <v>#DIV/0!</v>
      </c>
      <c r="BB82" s="89" t="e">
        <f>(V82/(U82+K82)-1)-VLOOKUP(BB$3,'Returns &amp; Bonus'!$A$5:$B$15,2,0)</f>
        <v>#DIV/0!</v>
      </c>
      <c r="BC82" s="89" t="e">
        <f>(W82/(V82+L82)-1)-VLOOKUP(BC$3,'Returns &amp; Bonus'!$A$5:$B$15,2,0)</f>
        <v>#DIV/0!</v>
      </c>
      <c r="BD82" s="89" t="e">
        <f>(X82/(W82+M82)-1)-VLOOKUP(BD$3,'Returns &amp; Bonus'!$A$5:$B$15,2,0)</f>
        <v>#DIV/0!</v>
      </c>
      <c r="BE82" s="89" t="e">
        <f>(Y82/(X82+N82)-1)-VLOOKUP(BE$3,'Returns &amp; Bonus'!$A$5:$B$15,2,0)</f>
        <v>#DIV/0!</v>
      </c>
      <c r="BF82" s="89" t="e">
        <f>(Z82/(Y82+O82)-1)-VLOOKUP(BF$3,'Returns &amp; Bonus'!$A$5:$B$15,2,0)</f>
        <v>#DIV/0!</v>
      </c>
      <c r="BG82" s="89">
        <f>(AA82/(Z82+P82)-1)-VLOOKUP(BG$3,'Returns &amp; Bonus'!$A$5:$B$15,2,0)</f>
        <v>0</v>
      </c>
      <c r="BH82" s="89">
        <f>(AB82/(AA82+Q82)-1)-VLOOKUP(BH$3,'Returns &amp; Bonus'!$A$5:$B$15,2,0)</f>
        <v>-1.2836953722228372E-16</v>
      </c>
    </row>
    <row r="83" spans="1:60" ht="16.5" thickBot="1" x14ac:dyDescent="0.3">
      <c r="A83" s="78">
        <f>'Amended Data'!A83</f>
        <v>80</v>
      </c>
      <c r="B83" s="76">
        <f>'Amended Data'!K83</f>
        <v>43466</v>
      </c>
      <c r="C83" s="61">
        <f>'Amended Data'!J83</f>
        <v>4860</v>
      </c>
      <c r="D83" s="62">
        <f>'Amended Data'!L83</f>
        <v>2</v>
      </c>
      <c r="E83" s="63">
        <f>'Amended Data'!M83</f>
        <v>10049.508</v>
      </c>
      <c r="F83" s="63" t="str">
        <f>'Data &amp; Formulae'!H91</f>
        <v>N</v>
      </c>
      <c r="G83" s="63">
        <f t="shared" si="29"/>
        <v>0</v>
      </c>
      <c r="H83" s="63">
        <f t="shared" si="29"/>
        <v>0</v>
      </c>
      <c r="I83" s="63">
        <f t="shared" si="29"/>
        <v>0</v>
      </c>
      <c r="J83" s="63">
        <f t="shared" si="29"/>
        <v>0</v>
      </c>
      <c r="K83" s="63">
        <f t="shared" si="29"/>
        <v>0</v>
      </c>
      <c r="L83" s="63">
        <f t="shared" si="29"/>
        <v>0</v>
      </c>
      <c r="M83" s="63">
        <f t="shared" si="29"/>
        <v>0</v>
      </c>
      <c r="N83" s="63">
        <f t="shared" si="29"/>
        <v>0</v>
      </c>
      <c r="O83" s="63">
        <f t="shared" si="29"/>
        <v>0</v>
      </c>
      <c r="P83" s="63">
        <f t="shared" si="29"/>
        <v>4860</v>
      </c>
      <c r="Q83" s="63">
        <f t="shared" si="29"/>
        <v>4860</v>
      </c>
      <c r="R83" s="63">
        <f>IF(R$3=2010,G83*(1+VLOOKUP(R$3,'Returns &amp; Bonus'!$A$5:$B$15,2,0)),(G83+Q83)*(1+VLOOKUP(R$3,'Returns &amp; Bonus'!$A$5:$B$15,2,0)))</f>
        <v>0</v>
      </c>
      <c r="S83" s="63">
        <f>IF(S$3=2010,H83*(1+VLOOKUP(S$3,'Returns &amp; Bonus'!$A$5:$B$15,2,0)),(H83+R83)*(1+VLOOKUP(S$3,'Returns &amp; Bonus'!$A$5:$B$15,2,0)))</f>
        <v>0</v>
      </c>
      <c r="T83" s="63">
        <f>IF(T$3=2010,I83*(1+VLOOKUP(T$3,'Returns &amp; Bonus'!$A$5:$B$15,2,0)),(I83+S83)*(1+VLOOKUP(T$3,'Returns &amp; Bonus'!$A$5:$B$15,2,0)))</f>
        <v>0</v>
      </c>
      <c r="U83" s="63">
        <f>IF(U$3=2010,J83*(1+VLOOKUP(U$3,'Returns &amp; Bonus'!$A$5:$B$15,2,0)),(J83+T83)*(1+VLOOKUP(U$3,'Returns &amp; Bonus'!$A$5:$B$15,2,0)))</f>
        <v>0</v>
      </c>
      <c r="V83" s="63">
        <f>IF(V$3=2010,K83*(1+VLOOKUP(V$3,'Returns &amp; Bonus'!$A$5:$B$15,2,0)),(K83+U83)*(1+VLOOKUP(V$3,'Returns &amp; Bonus'!$A$5:$B$15,2,0)))</f>
        <v>0</v>
      </c>
      <c r="W83" s="63">
        <f>IF(W$3=2010,L83*(1+VLOOKUP(W$3,'Returns &amp; Bonus'!$A$5:$B$15,2,0)),(L83+V83)*(1+VLOOKUP(W$3,'Returns &amp; Bonus'!$A$5:$B$15,2,0)))</f>
        <v>0</v>
      </c>
      <c r="X83" s="63">
        <f>IF(X$3=2010,M83*(1+VLOOKUP(X$3,'Returns &amp; Bonus'!$A$5:$B$15,2,0)),(M83+W83)*(1+VLOOKUP(X$3,'Returns &amp; Bonus'!$A$5:$B$15,2,0)))</f>
        <v>0</v>
      </c>
      <c r="Y83" s="63">
        <f>IF(Y$3=2010,N83*(1+VLOOKUP(Y$3,'Returns &amp; Bonus'!$A$5:$B$15,2,0)),(N83+X83)*(1+VLOOKUP(Y$3,'Returns &amp; Bonus'!$A$5:$B$15,2,0)))</f>
        <v>0</v>
      </c>
      <c r="Z83" s="63">
        <f>IF(Z$3=2010,O83*(1+VLOOKUP(Z$3,'Returns &amp; Bonus'!$A$5:$B$15,2,0)),(O83+Y83)*(1+VLOOKUP(Z$3,'Returns &amp; Bonus'!$A$5:$B$15,2,0)))</f>
        <v>0</v>
      </c>
      <c r="AA83" s="63">
        <f>IF(AA$3=2010,P83*(1+VLOOKUP(AA$3,'Returns &amp; Bonus'!$A$5:$B$15,2,0)),(P83+Z83)*(1+VLOOKUP(AA$3,'Returns &amp; Bonus'!$A$5:$B$15,2,0)))</f>
        <v>5394.6</v>
      </c>
      <c r="AB83" s="82">
        <f>IF(AB$3=2010,Q83*(1+VLOOKUP(AB$3,'Returns &amp; Bonus'!$A$5:$B$15,2,0)),(Q83+AA83)*(1+VLOOKUP(AB$3,'Returns &amp; Bonus'!$A$5:$B$15,2,0)))</f>
        <v>10049.508</v>
      </c>
      <c r="AC83" s="86"/>
      <c r="AD83" s="61">
        <f t="shared" si="23"/>
        <v>0</v>
      </c>
      <c r="AE83" s="61">
        <f t="shared" si="24"/>
        <v>0</v>
      </c>
      <c r="AF83" s="61">
        <f t="shared" si="30"/>
        <v>10049.508</v>
      </c>
      <c r="AG83" s="87">
        <f t="shared" si="31"/>
        <v>0</v>
      </c>
      <c r="AH83" s="61">
        <f>IF(VLOOKUP(A83,'Data &amp; Formulae'!$A$11:$F$91,6,0)="Y",BonusFundProp*AF83*VLOOKUP(YEAR(B83),'Returns &amp; Bonus'!$G$4:$I$15,3,0),0)</f>
        <v>0</v>
      </c>
      <c r="AI83" s="61">
        <f>IF(VLOOKUP(A83,'Data &amp; Formulae'!$A$11:$F$91,6,0)="Y",ClaimFundProp*AF83+AH83,0)</f>
        <v>0</v>
      </c>
      <c r="AJ83" s="61">
        <f t="shared" si="25"/>
        <v>0</v>
      </c>
      <c r="AK83" s="61">
        <f t="shared" si="32"/>
        <v>0</v>
      </c>
      <c r="AL83" s="64"/>
      <c r="AM83" s="72">
        <f t="shared" si="26"/>
        <v>0</v>
      </c>
      <c r="AN83" s="61">
        <f t="shared" si="33"/>
        <v>0</v>
      </c>
      <c r="AO83" s="64"/>
      <c r="AP83" s="72">
        <f>IF(VLOOKUP(A83,'Data &amp; Formulae'!$A$11:$F$91,6,0)="Y",Scen2Bonus*AF83,0)</f>
        <v>0</v>
      </c>
      <c r="AQ83" s="61">
        <f>IF(VLOOKUP(A83,'Data &amp; Formulae'!$A$11:$F$91,6,0)="Y",ClaimFundProp*AF83+AP83,0)</f>
        <v>0</v>
      </c>
      <c r="AR83" s="61">
        <f t="shared" si="27"/>
        <v>0</v>
      </c>
      <c r="AS83" s="61">
        <f t="shared" si="34"/>
        <v>0</v>
      </c>
      <c r="AT83" s="64"/>
      <c r="AU83" s="72">
        <f>IF(VLOOKUP(A83,'Data &amp; Formulae'!$A$11:$F$91,6,0)="Y",SurrPay*AF83,0)</f>
        <v>0</v>
      </c>
      <c r="AV83" s="74"/>
      <c r="AX83" s="4" t="b">
        <f t="shared" si="28"/>
        <v>1</v>
      </c>
      <c r="AY83" s="89" t="e">
        <f>(S83/(R83+H83)-1)-VLOOKUP(AY$3,'Returns &amp; Bonus'!$A$5:$B$15,2,0)</f>
        <v>#DIV/0!</v>
      </c>
      <c r="AZ83" s="89" t="e">
        <f>(T83/(S83+I83)-1)-VLOOKUP(AZ$3,'Returns &amp; Bonus'!$A$5:$B$15,2,0)</f>
        <v>#DIV/0!</v>
      </c>
      <c r="BA83" s="89" t="e">
        <f>(U83/(T83+J83)-1)-VLOOKUP(BA$3,'Returns &amp; Bonus'!$A$5:$B$15,2,0)</f>
        <v>#DIV/0!</v>
      </c>
      <c r="BB83" s="89" t="e">
        <f>(V83/(U83+K83)-1)-VLOOKUP(BB$3,'Returns &amp; Bonus'!$A$5:$B$15,2,0)</f>
        <v>#DIV/0!</v>
      </c>
      <c r="BC83" s="89" t="e">
        <f>(W83/(V83+L83)-1)-VLOOKUP(BC$3,'Returns &amp; Bonus'!$A$5:$B$15,2,0)</f>
        <v>#DIV/0!</v>
      </c>
      <c r="BD83" s="89" t="e">
        <f>(X83/(W83+M83)-1)-VLOOKUP(BD$3,'Returns &amp; Bonus'!$A$5:$B$15,2,0)</f>
        <v>#DIV/0!</v>
      </c>
      <c r="BE83" s="89" t="e">
        <f>(Y83/(X83+N83)-1)-VLOOKUP(BE$3,'Returns &amp; Bonus'!$A$5:$B$15,2,0)</f>
        <v>#DIV/0!</v>
      </c>
      <c r="BF83" s="89" t="e">
        <f>(Z83/(Y83+O83)-1)-VLOOKUP(BF$3,'Returns &amp; Bonus'!$A$5:$B$15,2,0)</f>
        <v>#DIV/0!</v>
      </c>
      <c r="BG83" s="89">
        <f>(AA83/(Z83+P83)-1)-VLOOKUP(BG$3,'Returns &amp; Bonus'!$A$5:$B$15,2,0)</f>
        <v>0</v>
      </c>
      <c r="BH83" s="89">
        <f>(AB83/(AA83+Q83)-1)-VLOOKUP(BH$3,'Returns &amp; Bonus'!$A$5:$B$15,2,0)</f>
        <v>0</v>
      </c>
    </row>
    <row r="84" spans="1:60" x14ac:dyDescent="0.25">
      <c r="A84" s="9"/>
      <c r="B84" s="13"/>
      <c r="C84" s="14"/>
      <c r="D84" s="9"/>
      <c r="E84" s="15"/>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1"/>
      <c r="AI84" s="21"/>
      <c r="AJ84" s="21"/>
      <c r="AK84" s="21"/>
      <c r="AL84" s="21"/>
      <c r="AM84" s="21"/>
      <c r="AN84" s="21"/>
      <c r="AO84" s="21"/>
      <c r="AP84" s="21"/>
      <c r="AQ84" s="21"/>
      <c r="AR84" s="21"/>
      <c r="AS84" s="21"/>
      <c r="AT84" s="21"/>
      <c r="AU84" s="21"/>
    </row>
    <row r="85" spans="1:60" x14ac:dyDescent="0.25">
      <c r="A85" s="9"/>
      <c r="B85" s="13"/>
      <c r="C85" s="14"/>
      <c r="D85" s="9"/>
      <c r="E85" s="15"/>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1"/>
      <c r="AI85" s="21"/>
      <c r="AJ85" s="21"/>
      <c r="AK85" s="21"/>
      <c r="AL85" s="21"/>
      <c r="AM85" s="21"/>
      <c r="AN85" s="21"/>
      <c r="AO85" s="21"/>
      <c r="AP85" s="21"/>
      <c r="AQ85" s="21"/>
      <c r="AR85" s="21"/>
      <c r="AS85" s="21"/>
      <c r="AT85" s="21"/>
      <c r="AU85" s="21"/>
    </row>
    <row r="86" spans="1:60" x14ac:dyDescent="0.25">
      <c r="A86" s="9"/>
      <c r="B86" s="13"/>
      <c r="C86" s="14"/>
      <c r="D86" s="9"/>
      <c r="E86" s="15"/>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1"/>
      <c r="AI86" s="21"/>
      <c r="AJ86" s="21"/>
      <c r="AK86" s="21"/>
      <c r="AL86" s="21"/>
      <c r="AM86" s="21"/>
      <c r="AN86" s="21"/>
      <c r="AO86" s="21"/>
      <c r="AP86" s="21"/>
      <c r="AQ86" s="21"/>
      <c r="AR86" s="21"/>
      <c r="AS86" s="21"/>
      <c r="AT86" s="21"/>
      <c r="AU86" s="21"/>
    </row>
    <row r="87" spans="1:60" x14ac:dyDescent="0.25">
      <c r="A87" s="9"/>
      <c r="B87" s="13"/>
      <c r="C87" s="14"/>
      <c r="D87" s="9"/>
      <c r="E87" s="15"/>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1"/>
      <c r="AI87" s="21"/>
      <c r="AJ87" s="21"/>
      <c r="AK87" s="21"/>
      <c r="AL87" s="21"/>
      <c r="AM87" s="21"/>
      <c r="AN87" s="21"/>
      <c r="AO87" s="21"/>
      <c r="AP87" s="21"/>
      <c r="AQ87" s="21"/>
      <c r="AR87" s="21"/>
      <c r="AS87" s="21"/>
      <c r="AT87" s="21"/>
      <c r="AU87" s="21"/>
    </row>
    <row r="88" spans="1:60" x14ac:dyDescent="0.25">
      <c r="A88" s="9"/>
      <c r="B88" s="13"/>
      <c r="C88" s="14"/>
      <c r="D88" s="9"/>
      <c r="E88" s="15"/>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1"/>
      <c r="AI88" s="21"/>
      <c r="AJ88" s="21"/>
      <c r="AK88" s="21"/>
      <c r="AL88" s="21"/>
      <c r="AM88" s="21"/>
      <c r="AN88" s="21"/>
      <c r="AO88" s="21"/>
      <c r="AP88" s="21"/>
      <c r="AQ88" s="21"/>
      <c r="AR88" s="21"/>
      <c r="AS88" s="21"/>
      <c r="AT88" s="21"/>
      <c r="AU88" s="21"/>
    </row>
    <row r="89" spans="1:60" x14ac:dyDescent="0.25">
      <c r="A89" s="9"/>
      <c r="B89" s="13"/>
      <c r="C89" s="14"/>
      <c r="D89" s="9"/>
      <c r="E89" s="15"/>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1"/>
      <c r="AI89" s="21"/>
      <c r="AJ89" s="21"/>
      <c r="AK89" s="21"/>
      <c r="AL89" s="21"/>
      <c r="AM89" s="21"/>
      <c r="AN89" s="21"/>
      <c r="AO89" s="21"/>
      <c r="AP89" s="21"/>
      <c r="AQ89" s="21"/>
      <c r="AR89" s="21"/>
      <c r="AS89" s="21"/>
      <c r="AT89" s="21"/>
      <c r="AU89" s="21"/>
    </row>
    <row r="90" spans="1:60" x14ac:dyDescent="0.25">
      <c r="A90" s="9"/>
      <c r="B90" s="13"/>
      <c r="C90" s="14"/>
      <c r="D90" s="9"/>
      <c r="E90" s="15"/>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1"/>
      <c r="AI90" s="21"/>
      <c r="AJ90" s="21"/>
      <c r="AK90" s="21"/>
      <c r="AL90" s="21"/>
      <c r="AM90" s="21"/>
      <c r="AN90" s="21"/>
      <c r="AO90" s="21"/>
      <c r="AP90" s="21"/>
      <c r="AQ90" s="21"/>
      <c r="AR90" s="21"/>
      <c r="AS90" s="21"/>
      <c r="AT90" s="21"/>
      <c r="AU90" s="21"/>
    </row>
    <row r="91" spans="1:60" x14ac:dyDescent="0.25">
      <c r="A91" s="9"/>
      <c r="B91" s="13"/>
      <c r="C91" s="14"/>
      <c r="D91" s="9"/>
      <c r="E91" s="15"/>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1"/>
      <c r="AI91" s="21"/>
      <c r="AJ91" s="21"/>
      <c r="AK91" s="21"/>
      <c r="AL91" s="21"/>
      <c r="AM91" s="21"/>
      <c r="AN91" s="21"/>
      <c r="AO91" s="21"/>
      <c r="AP91" s="21"/>
      <c r="AQ91" s="21"/>
      <c r="AR91" s="21"/>
      <c r="AS91" s="21"/>
      <c r="AT91" s="21"/>
      <c r="AU91" s="21"/>
    </row>
    <row r="92" spans="1:60" x14ac:dyDescent="0.25">
      <c r="A92" s="9"/>
      <c r="B92" s="13"/>
      <c r="C92" s="14"/>
      <c r="D92" s="9"/>
      <c r="E92" s="15"/>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1"/>
      <c r="AI92" s="21"/>
      <c r="AJ92" s="21"/>
      <c r="AK92" s="21"/>
      <c r="AL92" s="21"/>
      <c r="AM92" s="21"/>
      <c r="AN92" s="21"/>
      <c r="AO92" s="21"/>
      <c r="AP92" s="21"/>
      <c r="AQ92" s="21"/>
      <c r="AR92" s="21"/>
      <c r="AS92" s="21"/>
      <c r="AT92" s="21"/>
      <c r="AU92" s="21"/>
    </row>
    <row r="93" spans="1:60" x14ac:dyDescent="0.25">
      <c r="A93" s="9"/>
      <c r="B93" s="13"/>
      <c r="C93" s="14"/>
      <c r="D93" s="9"/>
      <c r="E93" s="15"/>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1"/>
      <c r="AI93" s="21"/>
      <c r="AJ93" s="21"/>
      <c r="AK93" s="21"/>
      <c r="AL93" s="21"/>
      <c r="AM93" s="21"/>
      <c r="AN93" s="21"/>
      <c r="AO93" s="21"/>
      <c r="AP93" s="21"/>
      <c r="AQ93" s="21"/>
      <c r="AR93" s="21"/>
      <c r="AS93" s="21"/>
      <c r="AT93" s="21"/>
      <c r="AU93" s="21"/>
    </row>
    <row r="94" spans="1:60" x14ac:dyDescent="0.25">
      <c r="A94" s="9"/>
      <c r="B94" s="13"/>
      <c r="C94" s="14"/>
      <c r="D94" s="9"/>
      <c r="E94" s="15"/>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1"/>
      <c r="AI94" s="21"/>
      <c r="AJ94" s="21"/>
      <c r="AK94" s="21"/>
      <c r="AL94" s="21"/>
      <c r="AM94" s="21"/>
      <c r="AN94" s="21"/>
      <c r="AO94" s="21"/>
      <c r="AP94" s="21"/>
      <c r="AQ94" s="21"/>
      <c r="AR94" s="21"/>
      <c r="AS94" s="21"/>
      <c r="AT94" s="21"/>
      <c r="AU94" s="21"/>
    </row>
    <row r="95" spans="1:60" x14ac:dyDescent="0.25">
      <c r="A95" s="9"/>
      <c r="B95" s="13"/>
      <c r="C95" s="14"/>
      <c r="D95" s="9"/>
      <c r="E95" s="15"/>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1"/>
      <c r="AI95" s="21"/>
      <c r="AJ95" s="21"/>
      <c r="AK95" s="21"/>
      <c r="AL95" s="21"/>
      <c r="AM95" s="21"/>
      <c r="AN95" s="21"/>
      <c r="AO95" s="21"/>
      <c r="AP95" s="21"/>
      <c r="AQ95" s="21"/>
      <c r="AR95" s="21"/>
      <c r="AS95" s="21"/>
      <c r="AT95" s="21"/>
      <c r="AU95" s="21"/>
    </row>
    <row r="96" spans="1:60" x14ac:dyDescent="0.25">
      <c r="A96" s="9"/>
      <c r="B96" s="13"/>
      <c r="C96" s="14"/>
      <c r="D96" s="9"/>
      <c r="E96" s="15"/>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1"/>
      <c r="AI96" s="21"/>
      <c r="AJ96" s="21"/>
      <c r="AK96" s="21"/>
      <c r="AL96" s="21"/>
      <c r="AM96" s="21"/>
      <c r="AN96" s="21"/>
      <c r="AO96" s="21"/>
      <c r="AP96" s="21"/>
      <c r="AQ96" s="21"/>
      <c r="AR96" s="21"/>
      <c r="AS96" s="21"/>
      <c r="AT96" s="21"/>
      <c r="AU96" s="21"/>
    </row>
    <row r="97" spans="1:47" x14ac:dyDescent="0.25">
      <c r="A97" s="9"/>
      <c r="B97" s="13"/>
      <c r="C97" s="14"/>
      <c r="D97" s="9"/>
      <c r="E97" s="15"/>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1"/>
      <c r="AI97" s="21"/>
      <c r="AJ97" s="21"/>
      <c r="AK97" s="21"/>
      <c r="AL97" s="21"/>
      <c r="AM97" s="21"/>
      <c r="AN97" s="21"/>
      <c r="AO97" s="21"/>
      <c r="AP97" s="21"/>
      <c r="AQ97" s="21"/>
      <c r="AR97" s="21"/>
      <c r="AS97" s="21"/>
      <c r="AT97" s="21"/>
      <c r="AU97" s="21"/>
    </row>
    <row r="98" spans="1:47" x14ac:dyDescent="0.25">
      <c r="A98" s="9"/>
      <c r="B98" s="13"/>
      <c r="C98" s="14"/>
      <c r="D98" s="9"/>
      <c r="E98" s="15"/>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1"/>
      <c r="AI98" s="21"/>
      <c r="AJ98" s="21"/>
      <c r="AK98" s="21"/>
      <c r="AL98" s="21"/>
      <c r="AM98" s="21"/>
      <c r="AN98" s="21"/>
      <c r="AO98" s="21"/>
      <c r="AP98" s="21"/>
      <c r="AQ98" s="21"/>
      <c r="AR98" s="21"/>
      <c r="AS98" s="21"/>
      <c r="AT98" s="21"/>
      <c r="AU98" s="21"/>
    </row>
    <row r="99" spans="1:47" x14ac:dyDescent="0.25">
      <c r="A99" s="9"/>
      <c r="B99" s="13"/>
      <c r="C99" s="14"/>
      <c r="D99" s="9"/>
      <c r="E99" s="15"/>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1"/>
      <c r="AI99" s="21"/>
      <c r="AJ99" s="21"/>
      <c r="AK99" s="21"/>
      <c r="AL99" s="21"/>
      <c r="AM99" s="21"/>
      <c r="AN99" s="21"/>
      <c r="AO99" s="21"/>
      <c r="AP99" s="21"/>
      <c r="AQ99" s="21"/>
      <c r="AR99" s="21"/>
      <c r="AS99" s="21"/>
      <c r="AT99" s="21"/>
      <c r="AU99" s="21"/>
    </row>
    <row r="100" spans="1:47" x14ac:dyDescent="0.25">
      <c r="A100" s="9"/>
      <c r="B100" s="13"/>
      <c r="C100" s="14"/>
      <c r="D100" s="9"/>
      <c r="E100" s="15"/>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1"/>
      <c r="AI100" s="21"/>
      <c r="AJ100" s="21"/>
      <c r="AK100" s="21"/>
      <c r="AL100" s="21"/>
      <c r="AM100" s="21"/>
      <c r="AN100" s="21"/>
      <c r="AO100" s="21"/>
      <c r="AP100" s="21"/>
      <c r="AQ100" s="21"/>
      <c r="AR100" s="21"/>
      <c r="AS100" s="21"/>
      <c r="AT100" s="21"/>
      <c r="AU100" s="21"/>
    </row>
    <row r="101" spans="1:47" x14ac:dyDescent="0.25">
      <c r="A101" s="9"/>
      <c r="B101" s="13"/>
      <c r="C101" s="14"/>
      <c r="D101" s="9"/>
      <c r="E101" s="15"/>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1"/>
      <c r="AI101" s="21"/>
      <c r="AJ101" s="21"/>
      <c r="AK101" s="21"/>
      <c r="AL101" s="21"/>
      <c r="AM101" s="21"/>
      <c r="AN101" s="21"/>
      <c r="AO101" s="21"/>
      <c r="AP101" s="21"/>
      <c r="AQ101" s="21"/>
      <c r="AR101" s="21"/>
      <c r="AS101" s="21"/>
      <c r="AT101" s="21"/>
      <c r="AU101" s="21"/>
    </row>
    <row r="102" spans="1:47" x14ac:dyDescent="0.25">
      <c r="A102" s="9"/>
      <c r="B102" s="13"/>
      <c r="C102" s="14"/>
      <c r="D102" s="9"/>
      <c r="E102" s="15"/>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1"/>
      <c r="AI102" s="21"/>
      <c r="AJ102" s="21"/>
      <c r="AK102" s="21"/>
      <c r="AL102" s="21"/>
      <c r="AM102" s="21"/>
      <c r="AN102" s="21"/>
      <c r="AO102" s="21"/>
      <c r="AP102" s="21"/>
      <c r="AQ102" s="21"/>
      <c r="AR102" s="21"/>
      <c r="AS102" s="21"/>
      <c r="AT102" s="21"/>
      <c r="AU102" s="21"/>
    </row>
    <row r="103" spans="1:47" x14ac:dyDescent="0.25">
      <c r="A103" s="9"/>
      <c r="B103" s="16"/>
      <c r="C103" s="17"/>
      <c r="D103" s="18"/>
      <c r="E103" s="19"/>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1"/>
      <c r="AI103" s="21"/>
      <c r="AJ103" s="21"/>
      <c r="AK103" s="21"/>
      <c r="AL103" s="21"/>
      <c r="AM103" s="21"/>
      <c r="AN103" s="21"/>
      <c r="AO103" s="17"/>
      <c r="AP103" s="21"/>
      <c r="AQ103" s="21"/>
      <c r="AR103" s="21"/>
      <c r="AS103" s="21"/>
      <c r="AT103" s="17"/>
      <c r="AU103" s="21"/>
    </row>
  </sheetData>
  <mergeCells count="9">
    <mergeCell ref="AY2:BH2"/>
    <mergeCell ref="A2:F2"/>
    <mergeCell ref="AI2:AL2"/>
    <mergeCell ref="AM2:AO2"/>
    <mergeCell ref="AP2:AT2"/>
    <mergeCell ref="AU2:AV2"/>
    <mergeCell ref="G2:Q2"/>
    <mergeCell ref="R2:AB2"/>
    <mergeCell ref="AD2:AH2"/>
  </mergeCells>
  <conditionalFormatting sqref="AY4:BH83">
    <cfRule type="cellIs" dxfId="2" priority="2" operator="lessThan">
      <formula>-0.001</formula>
    </cfRule>
    <cfRule type="cellIs" dxfId="1" priority="3" operator="greaterThan">
      <formula>0.001</formula>
    </cfRule>
  </conditionalFormatting>
  <conditionalFormatting sqref="AX4:AX83">
    <cfRule type="containsText" dxfId="0" priority="1" operator="containsText" text="FALSE">
      <formula>NOT(ISERROR(SEARCH("FALSE",AX4)))</formula>
    </cfRule>
  </conditionalFormatting>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
  <sheetViews>
    <sheetView showGridLines="0" workbookViewId="0">
      <selection activeCell="G35" sqref="G35"/>
    </sheetView>
  </sheetViews>
  <sheetFormatPr defaultColWidth="11" defaultRowHeight="15.75" x14ac:dyDescent="0.25"/>
  <cols>
    <col min="2" max="2" width="19.5" customWidth="1"/>
    <col min="3" max="3" width="14.5" customWidth="1"/>
  </cols>
  <sheetData>
    <row r="2" spans="2:7" x14ac:dyDescent="0.25">
      <c r="B2" s="79"/>
      <c r="C2" s="80" t="s">
        <v>69</v>
      </c>
      <c r="D2" s="80" t="s">
        <v>39</v>
      </c>
      <c r="E2" s="80" t="s">
        <v>42</v>
      </c>
      <c r="F2" s="80" t="s">
        <v>45</v>
      </c>
      <c r="G2" s="80" t="s">
        <v>59</v>
      </c>
    </row>
    <row r="3" spans="2:7" x14ac:dyDescent="0.25">
      <c r="B3" s="43" t="s">
        <v>67</v>
      </c>
      <c r="C3" s="42">
        <f>ProfitExclOption</f>
        <v>25000</v>
      </c>
      <c r="D3" s="42">
        <f>Calculations!$AL$4</f>
        <v>5104.7444168669972</v>
      </c>
      <c r="E3" s="42">
        <f>Calculations!$AO$4</f>
        <v>9517.7728030322814</v>
      </c>
      <c r="F3" s="42">
        <f>Calculations!$AT$4</f>
        <v>17047.849605367162</v>
      </c>
      <c r="G3" s="42">
        <f>Calculations!$AV$4</f>
        <v>5057.2102634180192</v>
      </c>
    </row>
    <row r="4" spans="2:7" x14ac:dyDescent="0.25">
      <c r="B4" s="43" t="s">
        <v>68</v>
      </c>
      <c r="C4" s="41"/>
      <c r="D4" s="42">
        <f>SUM(Calculations!$AH$4:$AH$83)</f>
        <v>179512.46997578879</v>
      </c>
      <c r="E4" s="42">
        <f>D4</f>
        <v>179512.46997578879</v>
      </c>
      <c r="F4" s="42">
        <f>SUM(Calculations!$AP$4:$AP$83)</f>
        <v>167519.4337872887</v>
      </c>
      <c r="G4" s="42">
        <f>D4</f>
        <v>179512.46997578879</v>
      </c>
    </row>
  </sheetData>
  <pageMargins left="0.7" right="0.7" top="0.75" bottom="0.75" header="0.3" footer="0.3"/>
  <pageSetup paperSize="0" orientation="portrait" horizontalDpi="0" verticalDpi="0" copie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DEA56D1C67B64286D98E8D036EB161" ma:contentTypeVersion="12" ma:contentTypeDescription="Create a new document." ma:contentTypeScope="" ma:versionID="0c075ee19cc4cd5df385e2f86d578a93">
  <xsd:schema xmlns:xsd="http://www.w3.org/2001/XMLSchema" xmlns:xs="http://www.w3.org/2001/XMLSchema" xmlns:p="http://schemas.microsoft.com/office/2006/metadata/properties" xmlns:ns3="b0c85383-0ebd-4bd8-aa0c-b505eed692d4" xmlns:ns4="42f030de-9b20-4e4f-a3c7-02b883677dbe" targetNamespace="http://schemas.microsoft.com/office/2006/metadata/properties" ma:root="true" ma:fieldsID="25c1befcb0ea915432734e9d14586477" ns3:_="" ns4:_="">
    <xsd:import namespace="b0c85383-0ebd-4bd8-aa0c-b505eed692d4"/>
    <xsd:import namespace="42f030de-9b20-4e4f-a3c7-02b883677db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c85383-0ebd-4bd8-aa0c-b505eed69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f030de-9b20-4e4f-a3c7-02b883677d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69B9A0-92F5-4B34-94BB-1DB3B2B84699}">
  <ds:schemaRefs>
    <ds:schemaRef ds:uri="http://schemas.microsoft.com/sharepoint/v3/contenttype/forms"/>
  </ds:schemaRefs>
</ds:datastoreItem>
</file>

<file path=customXml/itemProps2.xml><?xml version="1.0" encoding="utf-8"?>
<ds:datastoreItem xmlns:ds="http://schemas.openxmlformats.org/officeDocument/2006/customXml" ds:itemID="{6ECFEFC9-89C1-4EE2-8C99-93D07FD40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c85383-0ebd-4bd8-aa0c-b505eed692d4"/>
    <ds:schemaRef ds:uri="42f030de-9b20-4e4f-a3c7-02b883677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BC6494-3835-4E7C-974D-7BB95C6B0F6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Audit trail</vt:lpstr>
      <vt:lpstr>Data &amp; Formulae</vt:lpstr>
      <vt:lpstr>Returns &amp; Bonus</vt:lpstr>
      <vt:lpstr>Parameters</vt:lpstr>
      <vt:lpstr>Amended Data</vt:lpstr>
      <vt:lpstr>Calculations</vt:lpstr>
      <vt:lpstr>Results</vt:lpstr>
      <vt:lpstr>BaseLimit</vt:lpstr>
      <vt:lpstr>BonusFundProp</vt:lpstr>
      <vt:lpstr>ClaimFundProp</vt:lpstr>
      <vt:lpstr>FirstStartDate</vt:lpstr>
      <vt:lpstr>LastStartDate</vt:lpstr>
      <vt:lpstr>MaxPrem</vt:lpstr>
      <vt:lpstr>MaxTerm</vt:lpstr>
      <vt:lpstr>MinPrem</vt:lpstr>
      <vt:lpstr>MinTerm</vt:lpstr>
      <vt:lpstr>ProfitExclOption</vt:lpstr>
      <vt:lpstr>Scen1Limit</vt:lpstr>
      <vt:lpstr>Scen2Bonus</vt:lpstr>
      <vt:lpstr>Scen3Pay</vt:lpstr>
      <vt:lpstr>ScenLimit</vt:lpstr>
      <vt:lpstr>SurrPay</vt:lpstr>
      <vt:lpstr>ValDate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Jyoti Dubey</cp:lastModifiedBy>
  <dcterms:created xsi:type="dcterms:W3CDTF">2021-07-18T02:08:30Z</dcterms:created>
  <dcterms:modified xsi:type="dcterms:W3CDTF">2022-01-29T06:43:26Z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0x01010012DEA56D1C67B64286D98E8D036EB161</vt:lpwstr>
  </property>
  <property fmtid="{D5CDD505-2E9C-101B-9397-08002B2CF9AE}" pid="3" name="MSIP_Label_ed121db1-3721-4230-84e8-3331eb029bec_Enabled">
    <vt:lpwstr>True</vt:lpwstr>
  </property>
  <property fmtid="{D5CDD505-2E9C-101B-9397-08002B2CF9AE}" pid="4" name="MSIP_Label_ed121db1-3721-4230-84e8-3331eb029bec_SiteId">
    <vt:lpwstr>7007305e-2664-4e6b-b9a4-c4d5ccfd1524</vt:lpwstr>
  </property>
  <property fmtid="{D5CDD505-2E9C-101B-9397-08002B2CF9AE}" pid="5" name="MSIP_Label_ed121db1-3721-4230-84e8-3331eb029bec_Owner">
    <vt:lpwstr>devadeep.gupta@prudential.com.hk</vt:lpwstr>
  </property>
  <property fmtid="{D5CDD505-2E9C-101B-9397-08002B2CF9AE}" pid="6" name="MSIP_Label_ed121db1-3721-4230-84e8-3331eb029bec_SetDate">
    <vt:lpwstr>2021-07-29T10:24:02.3785486Z</vt:lpwstr>
  </property>
  <property fmtid="{D5CDD505-2E9C-101B-9397-08002B2CF9AE}" pid="7" name="MSIP_Label_ed121db1-3721-4230-84e8-3331eb029bec_Name">
    <vt:lpwstr>Restricted</vt:lpwstr>
  </property>
  <property fmtid="{D5CDD505-2E9C-101B-9397-08002B2CF9AE}" pid="8" name="MSIP_Label_ed121db1-3721-4230-84e8-3331eb029bec_Application">
    <vt:lpwstr>Microsoft Azure Information Protection</vt:lpwstr>
  </property>
  <property fmtid="{D5CDD505-2E9C-101B-9397-08002B2CF9AE}" pid="9" name="MSIP_Label_ed121db1-3721-4230-84e8-3331eb029bec_ActionId">
    <vt:lpwstr>bfbc9685-deee-4944-909a-ea2f1a4d5d17</vt:lpwstr>
  </property>
  <property fmtid="{D5CDD505-2E9C-101B-9397-08002B2CF9AE}" pid="10" name="MSIP_Label_ed121db1-3721-4230-84e8-3331eb029bec_Extended_MSFT_Method">
    <vt:lpwstr>Automatic</vt:lpwstr>
  </property>
  <property fmtid="{D5CDD505-2E9C-101B-9397-08002B2CF9AE}" pid="11" name="MSIP_Label_f45d0447-72b7-4595-8ee5-b32b4892557e_Enabled">
    <vt:lpwstr>true</vt:lpwstr>
  </property>
  <property fmtid="{D5CDD505-2E9C-101B-9397-08002B2CF9AE}" pid="12" name="MSIP_Label_f45d0447-72b7-4595-8ee5-b32b4892557e_SetDate">
    <vt:lpwstr>2021-09-19T02:31:23Z</vt:lpwstr>
  </property>
  <property fmtid="{D5CDD505-2E9C-101B-9397-08002B2CF9AE}" pid="13" name="MSIP_Label_f45d0447-72b7-4595-8ee5-b32b4892557e_Method">
    <vt:lpwstr>Privileged</vt:lpwstr>
  </property>
  <property fmtid="{D5CDD505-2E9C-101B-9397-08002B2CF9AE}" pid="14" name="MSIP_Label_f45d0447-72b7-4595-8ee5-b32b4892557e_Name">
    <vt:lpwstr>f45d0447-72b7-4595-8ee5-b32b4892557e</vt:lpwstr>
  </property>
  <property fmtid="{D5CDD505-2E9C-101B-9397-08002B2CF9AE}" pid="15" name="MSIP_Label_f45d0447-72b7-4595-8ee5-b32b4892557e_SiteId">
    <vt:lpwstr>582259a1-dcaa-4cca-b1cf-e60d3f045ecd</vt:lpwstr>
  </property>
  <property fmtid="{D5CDD505-2E9C-101B-9397-08002B2CF9AE}" pid="16" name="MSIP_Label_f45d0447-72b7-4595-8ee5-b32b4892557e_ActionId">
    <vt:lpwstr>5ce7c705-1c92-4eaf-aac8-f9b290c08124</vt:lpwstr>
  </property>
  <property fmtid="{D5CDD505-2E9C-101B-9397-08002B2CF9AE}" pid="17" name="MSIP_Label_f45d0447-72b7-4595-8ee5-b32b4892557e_ContentBits">
    <vt:lpwstr>0</vt:lpwstr>
  </property>
</Properties>
</file>